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bswhd.sharepoint.com/sites/Doku/Freigegebene Dokumente/Abschlussarbeiten/CJW/"/>
    </mc:Choice>
  </mc:AlternateContent>
  <xr:revisionPtr revIDLastSave="0" documentId="8_{593D5C56-AE29-41D3-9F0C-DCA9D0FC6DCA}" xr6:coauthVersionLast="47" xr6:coauthVersionMax="47" xr10:uidLastSave="{00000000-0000-0000-0000-000000000000}"/>
  <bookViews>
    <workbookView xWindow="19090" yWindow="-110" windowWidth="38620" windowHeight="21220" xr2:uid="{75256904-3BAB-4720-A198-56C48CE88278}"/>
  </bookViews>
  <sheets>
    <sheet name="Inhaltsverzeichnis" sheetId="8" r:id="rId1"/>
    <sheet name="Berechn. Reisezeitverhältnis" sheetId="2" r:id="rId2"/>
    <sheet name="Berechn. Erreichbarkeit" sheetId="3" r:id="rId3"/>
    <sheet name="Berechn. Umsteigeh., -wartezeit" sheetId="6" r:id="rId4"/>
    <sheet name="Berechn. Pendeldistanzen" sheetId="5" r:id="rId5"/>
    <sheet name="Hilfsrechn. Gemeindeverz." sheetId="7" r:id="rId6"/>
  </sheets>
  <externalReferences>
    <externalReference r:id="rId7"/>
  </externalReferences>
  <definedNames>
    <definedName name="_xlnm._FilterDatabase" localSheetId="3" hidden="1">'Berechn. Umsteigeh., -wartezeit'!#REF!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2" i="6" l="1"/>
  <c r="C52" i="6" s="1"/>
  <c r="D38" i="7"/>
  <c r="C38" i="7"/>
  <c r="B38" i="7"/>
  <c r="M168" i="6"/>
  <c r="L168" i="6"/>
  <c r="B168" i="6"/>
  <c r="L167" i="6"/>
  <c r="N167" i="6" s="1"/>
  <c r="L166" i="6"/>
  <c r="N166" i="6" s="1"/>
  <c r="B166" i="6"/>
  <c r="L165" i="6"/>
  <c r="N165" i="6" s="1"/>
  <c r="B165" i="6"/>
  <c r="N164" i="6"/>
  <c r="B164" i="6"/>
  <c r="M163" i="6"/>
  <c r="L163" i="6"/>
  <c r="B163" i="6"/>
  <c r="N162" i="6"/>
  <c r="B162" i="6"/>
  <c r="M161" i="6"/>
  <c r="L161" i="6"/>
  <c r="N161" i="6" s="1"/>
  <c r="B161" i="6"/>
  <c r="M160" i="6"/>
  <c r="L160" i="6"/>
  <c r="N160" i="6" s="1"/>
  <c r="B160" i="6"/>
  <c r="N159" i="6"/>
  <c r="B159" i="6"/>
  <c r="L155" i="6"/>
  <c r="N155" i="6" s="1"/>
  <c r="B155" i="6"/>
  <c r="L154" i="6"/>
  <c r="N154" i="6" s="1"/>
  <c r="B154" i="6"/>
  <c r="N153" i="6"/>
  <c r="B153" i="6"/>
  <c r="L152" i="6"/>
  <c r="N152" i="6" s="1"/>
  <c r="B152" i="6"/>
  <c r="N151" i="6"/>
  <c r="B151" i="6"/>
  <c r="M150" i="6"/>
  <c r="L150" i="6"/>
  <c r="B150" i="6"/>
  <c r="L149" i="6"/>
  <c r="N149" i="6" s="1"/>
  <c r="B149" i="6"/>
  <c r="L148" i="6"/>
  <c r="N148" i="6" s="1"/>
  <c r="B148" i="6"/>
  <c r="N147" i="6"/>
  <c r="B147" i="6"/>
  <c r="N146" i="6"/>
  <c r="B146" i="6"/>
  <c r="M142" i="6"/>
  <c r="L142" i="6"/>
  <c r="B142" i="6"/>
  <c r="M141" i="6"/>
  <c r="L141" i="6"/>
  <c r="B141" i="6"/>
  <c r="M140" i="6"/>
  <c r="L140" i="6"/>
  <c r="B140" i="6"/>
  <c r="M139" i="6"/>
  <c r="L139" i="6"/>
  <c r="N139" i="6" s="1"/>
  <c r="B139" i="6"/>
  <c r="L138" i="6"/>
  <c r="N138" i="6" s="1"/>
  <c r="B138" i="6"/>
  <c r="M137" i="6"/>
  <c r="L137" i="6"/>
  <c r="B137" i="6"/>
  <c r="M136" i="6"/>
  <c r="L136" i="6"/>
  <c r="N136" i="6" s="1"/>
  <c r="B136" i="6"/>
  <c r="M135" i="6"/>
  <c r="L135" i="6"/>
  <c r="N135" i="6" s="1"/>
  <c r="B135" i="6"/>
  <c r="M134" i="6"/>
  <c r="L134" i="6"/>
  <c r="B134" i="6"/>
  <c r="N133" i="6"/>
  <c r="B133" i="6"/>
  <c r="L129" i="6"/>
  <c r="N129" i="6" s="1"/>
  <c r="B129" i="6"/>
  <c r="L128" i="6"/>
  <c r="N128" i="6" s="1"/>
  <c r="B128" i="6"/>
  <c r="L127" i="6"/>
  <c r="N127" i="6" s="1"/>
  <c r="B127" i="6"/>
  <c r="L126" i="6"/>
  <c r="N126" i="6" s="1"/>
  <c r="B126" i="6"/>
  <c r="L125" i="6"/>
  <c r="N125" i="6" s="1"/>
  <c r="B125" i="6"/>
  <c r="L124" i="6"/>
  <c r="N124" i="6" s="1"/>
  <c r="B124" i="6"/>
  <c r="L123" i="6"/>
  <c r="N123" i="6" s="1"/>
  <c r="B123" i="6"/>
  <c r="L122" i="6"/>
  <c r="N122" i="6" s="1"/>
  <c r="B122" i="6"/>
  <c r="N121" i="6"/>
  <c r="B121" i="6"/>
  <c r="N120" i="6"/>
  <c r="B120" i="6"/>
  <c r="L116" i="6"/>
  <c r="N116" i="6" s="1"/>
  <c r="B116" i="6"/>
  <c r="N115" i="6"/>
  <c r="B115" i="6"/>
  <c r="N114" i="6"/>
  <c r="B114" i="6"/>
  <c r="M113" i="6"/>
  <c r="L113" i="6"/>
  <c r="B113" i="6"/>
  <c r="M112" i="6"/>
  <c r="L112" i="6"/>
  <c r="N112" i="6" s="1"/>
  <c r="B112" i="6"/>
  <c r="N111" i="6"/>
  <c r="B111" i="6"/>
  <c r="N110" i="6"/>
  <c r="B110" i="6"/>
  <c r="N109" i="6"/>
  <c r="B109" i="6"/>
  <c r="M108" i="6"/>
  <c r="L108" i="6"/>
  <c r="B108" i="6"/>
  <c r="L107" i="6"/>
  <c r="N107" i="6" s="1"/>
  <c r="B107" i="6"/>
  <c r="M103" i="6"/>
  <c r="L103" i="6"/>
  <c r="N103" i="6" s="1"/>
  <c r="B103" i="6"/>
  <c r="L102" i="6"/>
  <c r="N102" i="6" s="1"/>
  <c r="B102" i="6"/>
  <c r="N101" i="6"/>
  <c r="B101" i="6"/>
  <c r="N100" i="6"/>
  <c r="B100" i="6"/>
  <c r="N99" i="6"/>
  <c r="B99" i="6"/>
  <c r="L98" i="6"/>
  <c r="N98" i="6" s="1"/>
  <c r="B98" i="6"/>
  <c r="L97" i="6"/>
  <c r="N97" i="6" s="1"/>
  <c r="B97" i="6"/>
  <c r="N96" i="6"/>
  <c r="B96" i="6"/>
  <c r="L95" i="6"/>
  <c r="N95" i="6" s="1"/>
  <c r="B95" i="6"/>
  <c r="L94" i="6"/>
  <c r="N94" i="6" s="1"/>
  <c r="B94" i="6"/>
  <c r="L90" i="6"/>
  <c r="N90" i="6" s="1"/>
  <c r="B90" i="6"/>
  <c r="L89" i="6"/>
  <c r="N89" i="6" s="1"/>
  <c r="B89" i="6"/>
  <c r="L88" i="6"/>
  <c r="N88" i="6" s="1"/>
  <c r="B88" i="6"/>
  <c r="N87" i="6"/>
  <c r="B87" i="6"/>
  <c r="L86" i="6"/>
  <c r="N86" i="6" s="1"/>
  <c r="B86" i="6"/>
  <c r="L85" i="6"/>
  <c r="N85" i="6" s="1"/>
  <c r="B85" i="6"/>
  <c r="N84" i="6"/>
  <c r="B84" i="6"/>
  <c r="L83" i="6"/>
  <c r="N83" i="6" s="1"/>
  <c r="B83" i="6"/>
  <c r="L82" i="6"/>
  <c r="N82" i="6" s="1"/>
  <c r="B82" i="6"/>
  <c r="M81" i="6"/>
  <c r="L81" i="6"/>
  <c r="B81" i="6"/>
  <c r="N77" i="6"/>
  <c r="B77" i="6"/>
  <c r="N76" i="6"/>
  <c r="B76" i="6"/>
  <c r="L75" i="6"/>
  <c r="N75" i="6" s="1"/>
  <c r="B75" i="6"/>
  <c r="L74" i="6"/>
  <c r="N74" i="6" s="1"/>
  <c r="B74" i="6"/>
  <c r="L73" i="6"/>
  <c r="N73" i="6" s="1"/>
  <c r="B73" i="6"/>
  <c r="L72" i="6"/>
  <c r="N72" i="6" s="1"/>
  <c r="B72" i="6"/>
  <c r="N71" i="6"/>
  <c r="B71" i="6"/>
  <c r="L70" i="6"/>
  <c r="N70" i="6" s="1"/>
  <c r="B70" i="6"/>
  <c r="N69" i="6"/>
  <c r="B69" i="6"/>
  <c r="N68" i="6"/>
  <c r="B68" i="6"/>
  <c r="L64" i="6"/>
  <c r="N64" i="6" s="1"/>
  <c r="B64" i="6"/>
  <c r="N63" i="6"/>
  <c r="B63" i="6"/>
  <c r="L62" i="6"/>
  <c r="N62" i="6" s="1"/>
  <c r="B62" i="6"/>
  <c r="N61" i="6"/>
  <c r="B61" i="6"/>
  <c r="L60" i="6"/>
  <c r="N60" i="6" s="1"/>
  <c r="B60" i="6"/>
  <c r="N59" i="6"/>
  <c r="B59" i="6"/>
  <c r="N58" i="6"/>
  <c r="B58" i="6"/>
  <c r="L57" i="6"/>
  <c r="N57" i="6" s="1"/>
  <c r="B57" i="6"/>
  <c r="N56" i="6"/>
  <c r="B56" i="6"/>
  <c r="N55" i="6"/>
  <c r="B55" i="6"/>
  <c r="L51" i="6"/>
  <c r="N51" i="6" s="1"/>
  <c r="N50" i="6"/>
  <c r="M49" i="6"/>
  <c r="L49" i="6"/>
  <c r="N49" i="6" s="1"/>
  <c r="M48" i="6"/>
  <c r="L48" i="6"/>
  <c r="L47" i="6"/>
  <c r="N47" i="6" s="1"/>
  <c r="N46" i="6"/>
  <c r="M45" i="6"/>
  <c r="L45" i="6"/>
  <c r="N45" i="6" s="1"/>
  <c r="M44" i="6"/>
  <c r="L44" i="6"/>
  <c r="M43" i="6"/>
  <c r="L43" i="6"/>
  <c r="N43" i="6" s="1"/>
  <c r="N42" i="6"/>
  <c r="B39" i="6"/>
  <c r="C29" i="6" s="1"/>
  <c r="N38" i="6"/>
  <c r="N37" i="6"/>
  <c r="N36" i="6"/>
  <c r="N35" i="6"/>
  <c r="L34" i="6"/>
  <c r="N34" i="6" s="1"/>
  <c r="L33" i="6"/>
  <c r="N33" i="6" s="1"/>
  <c r="L32" i="6"/>
  <c r="N32" i="6" s="1"/>
  <c r="N31" i="6"/>
  <c r="N30" i="6"/>
  <c r="N29" i="6"/>
  <c r="B26" i="6"/>
  <c r="C20" i="6" s="1"/>
  <c r="L25" i="6"/>
  <c r="N25" i="6" s="1"/>
  <c r="N24" i="6"/>
  <c r="N23" i="6"/>
  <c r="N22" i="6"/>
  <c r="N21" i="6"/>
  <c r="L20" i="6"/>
  <c r="N20" i="6" s="1"/>
  <c r="N19" i="6"/>
  <c r="N18" i="6"/>
  <c r="N17" i="6"/>
  <c r="L16" i="6"/>
  <c r="N16" i="6" s="1"/>
  <c r="M12" i="6"/>
  <c r="L12" i="6"/>
  <c r="B12" i="6"/>
  <c r="L11" i="6"/>
  <c r="N11" i="6" s="1"/>
  <c r="B11" i="6"/>
  <c r="L10" i="6"/>
  <c r="N10" i="6" s="1"/>
  <c r="B10" i="6"/>
  <c r="L9" i="6"/>
  <c r="N9" i="6" s="1"/>
  <c r="B9" i="6"/>
  <c r="L8" i="6"/>
  <c r="N8" i="6" s="1"/>
  <c r="B8" i="6"/>
  <c r="N7" i="6"/>
  <c r="B7" i="6"/>
  <c r="N6" i="6"/>
  <c r="B6" i="6"/>
  <c r="L5" i="6"/>
  <c r="N5" i="6" s="1"/>
  <c r="B5" i="6"/>
  <c r="L4" i="6"/>
  <c r="N4" i="6" s="1"/>
  <c r="B4" i="6"/>
  <c r="N3" i="6"/>
  <c r="B3" i="6"/>
  <c r="B649" i="5"/>
  <c r="C648" i="5" s="1"/>
  <c r="F648" i="5"/>
  <c r="C643" i="5"/>
  <c r="F643" i="5" s="1"/>
  <c r="C641" i="5"/>
  <c r="F641" i="5" s="1"/>
  <c r="C639" i="5"/>
  <c r="F639" i="5" s="1"/>
  <c r="C623" i="5"/>
  <c r="F623" i="5" s="1"/>
  <c r="B549" i="5"/>
  <c r="B593" i="5" s="1"/>
  <c r="C572" i="5" s="1"/>
  <c r="F572" i="5" s="1"/>
  <c r="C548" i="5"/>
  <c r="F548" i="5" s="1"/>
  <c r="B438" i="5"/>
  <c r="B492" i="5" s="1"/>
  <c r="C428" i="5" s="1"/>
  <c r="F428" i="5" s="1"/>
  <c r="C426" i="5"/>
  <c r="F426" i="5" s="1"/>
  <c r="B380" i="5"/>
  <c r="C377" i="5" s="1"/>
  <c r="F377" i="5" s="1"/>
  <c r="C379" i="5"/>
  <c r="F379" i="5" s="1"/>
  <c r="C374" i="5"/>
  <c r="F374" i="5" s="1"/>
  <c r="B364" i="5"/>
  <c r="C357" i="5" s="1"/>
  <c r="F357" i="5" s="1"/>
  <c r="B344" i="5"/>
  <c r="C332" i="5" s="1"/>
  <c r="F332" i="5" s="1"/>
  <c r="B315" i="5"/>
  <c r="C309" i="5" s="1"/>
  <c r="F309" i="5" s="1"/>
  <c r="C314" i="5"/>
  <c r="F314" i="5" s="1"/>
  <c r="B266" i="5"/>
  <c r="C250" i="5" s="1"/>
  <c r="F250" i="5" s="1"/>
  <c r="C253" i="5"/>
  <c r="F253" i="5" s="1"/>
  <c r="C252" i="5"/>
  <c r="F252" i="5" s="1"/>
  <c r="C242" i="5"/>
  <c r="F242" i="5" s="1"/>
  <c r="C210" i="5"/>
  <c r="F210" i="5" s="1"/>
  <c r="B192" i="5"/>
  <c r="C190" i="5" s="1"/>
  <c r="F190" i="5" s="1"/>
  <c r="B137" i="5"/>
  <c r="C118" i="5" s="1"/>
  <c r="F118" i="5" s="1"/>
  <c r="C133" i="5"/>
  <c r="F133" i="5" s="1"/>
  <c r="B113" i="5"/>
  <c r="C106" i="5" s="1"/>
  <c r="F106" i="5" s="1"/>
  <c r="C112" i="5"/>
  <c r="F112" i="5" s="1"/>
  <c r="B39" i="5"/>
  <c r="C38" i="5" s="1"/>
  <c r="F38" i="5" s="1"/>
  <c r="B21" i="5"/>
  <c r="C20" i="5" s="1"/>
  <c r="F20" i="5" s="1"/>
  <c r="B10" i="5"/>
  <c r="C10" i="5" s="1"/>
  <c r="C9" i="5"/>
  <c r="F9" i="5" s="1"/>
  <c r="C8" i="5"/>
  <c r="F8" i="5" s="1"/>
  <c r="C7" i="5"/>
  <c r="F7" i="5" s="1"/>
  <c r="B650" i="3"/>
  <c r="C644" i="3" s="1"/>
  <c r="F644" i="3" s="1"/>
  <c r="B550" i="3"/>
  <c r="F439" i="3"/>
  <c r="B439" i="3"/>
  <c r="B423" i="3" s="1"/>
  <c r="B493" i="3" s="1"/>
  <c r="B381" i="3"/>
  <c r="C379" i="3" s="1"/>
  <c r="F379" i="3" s="1"/>
  <c r="B365" i="3"/>
  <c r="C352" i="3" s="1"/>
  <c r="F352" i="3" s="1"/>
  <c r="C361" i="3"/>
  <c r="F361" i="3" s="1"/>
  <c r="C359" i="3"/>
  <c r="F359" i="3" s="1"/>
  <c r="C355" i="3"/>
  <c r="F355" i="3" s="1"/>
  <c r="B345" i="3"/>
  <c r="C336" i="3" s="1"/>
  <c r="F336" i="3" s="1"/>
  <c r="B316" i="3"/>
  <c r="C316" i="3" s="1"/>
  <c r="B267" i="3"/>
  <c r="C264" i="3" s="1"/>
  <c r="F264" i="3" s="1"/>
  <c r="B193" i="3"/>
  <c r="C193" i="3" s="1"/>
  <c r="B138" i="3"/>
  <c r="C131" i="3" s="1"/>
  <c r="F131" i="3" s="1"/>
  <c r="B48" i="3"/>
  <c r="B47" i="3"/>
  <c r="B39" i="3"/>
  <c r="C39" i="3" s="1"/>
  <c r="B21" i="3"/>
  <c r="C21" i="3" s="1"/>
  <c r="B10" i="3"/>
  <c r="C8" i="3" s="1"/>
  <c r="F8" i="3" s="1"/>
  <c r="N142" i="6" l="1"/>
  <c r="C18" i="6"/>
  <c r="N108" i="6"/>
  <c r="N113" i="6"/>
  <c r="N140" i="6"/>
  <c r="N81" i="6"/>
  <c r="N137" i="6"/>
  <c r="C33" i="6"/>
  <c r="C17" i="6"/>
  <c r="C25" i="6"/>
  <c r="N150" i="6"/>
  <c r="C21" i="6"/>
  <c r="N44" i="6"/>
  <c r="C22" i="6"/>
  <c r="C16" i="6"/>
  <c r="C23" i="6"/>
  <c r="N141" i="6"/>
  <c r="C44" i="6"/>
  <c r="C48" i="6"/>
  <c r="C51" i="6"/>
  <c r="B65" i="6"/>
  <c r="C56" i="6" s="1"/>
  <c r="B156" i="6"/>
  <c r="C154" i="6" s="1"/>
  <c r="B143" i="6"/>
  <c r="C139" i="6" s="1"/>
  <c r="B13" i="6"/>
  <c r="C4" i="6" s="1"/>
  <c r="C26" i="6"/>
  <c r="C38" i="6"/>
  <c r="N134" i="6"/>
  <c r="N163" i="6"/>
  <c r="N168" i="6"/>
  <c r="B91" i="6"/>
  <c r="C83" i="6" s="1"/>
  <c r="B78" i="6"/>
  <c r="C69" i="6" s="1"/>
  <c r="B117" i="6"/>
  <c r="C111" i="6" s="1"/>
  <c r="B130" i="6"/>
  <c r="C124" i="6" s="1"/>
  <c r="N12" i="6"/>
  <c r="N48" i="6"/>
  <c r="C31" i="5"/>
  <c r="F31" i="5" s="1"/>
  <c r="C201" i="5"/>
  <c r="F201" i="5" s="1"/>
  <c r="C531" i="5"/>
  <c r="F531" i="5" s="1"/>
  <c r="C202" i="5"/>
  <c r="F202" i="5" s="1"/>
  <c r="C203" i="5"/>
  <c r="F203" i="5" s="1"/>
  <c r="C5" i="5"/>
  <c r="F5" i="5" s="1"/>
  <c r="C225" i="5"/>
  <c r="F225" i="5" s="1"/>
  <c r="C613" i="5"/>
  <c r="F613" i="5" s="1"/>
  <c r="C254" i="5"/>
  <c r="F254" i="5" s="1"/>
  <c r="C212" i="5"/>
  <c r="F212" i="5" s="1"/>
  <c r="C261" i="5"/>
  <c r="F261" i="5" s="1"/>
  <c r="C222" i="5"/>
  <c r="F222" i="5" s="1"/>
  <c r="C262" i="5"/>
  <c r="F262" i="5" s="1"/>
  <c r="C223" i="5"/>
  <c r="F223" i="5" s="1"/>
  <c r="C263" i="5"/>
  <c r="F263" i="5" s="1"/>
  <c r="C376" i="5"/>
  <c r="F376" i="5" s="1"/>
  <c r="C574" i="5"/>
  <c r="F574" i="5" s="1"/>
  <c r="C224" i="5"/>
  <c r="F224" i="5" s="1"/>
  <c r="C264" i="5"/>
  <c r="F264" i="5" s="1"/>
  <c r="C25" i="5"/>
  <c r="F25" i="5" s="1"/>
  <c r="C27" i="5"/>
  <c r="F27" i="5" s="1"/>
  <c r="C232" i="5"/>
  <c r="F232" i="5" s="1"/>
  <c r="C617" i="5"/>
  <c r="F617" i="5" s="1"/>
  <c r="C3" i="5"/>
  <c r="F3" i="5" s="1"/>
  <c r="C28" i="5"/>
  <c r="F28" i="5" s="1"/>
  <c r="C233" i="5"/>
  <c r="F233" i="5" s="1"/>
  <c r="C619" i="5"/>
  <c r="F619" i="5" s="1"/>
  <c r="C4" i="5"/>
  <c r="F4" i="5" s="1"/>
  <c r="C30" i="5"/>
  <c r="F30" i="5" s="1"/>
  <c r="C234" i="5"/>
  <c r="F234" i="5" s="1"/>
  <c r="C416" i="5"/>
  <c r="F416" i="5" s="1"/>
  <c r="C621" i="5"/>
  <c r="F621" i="5" s="1"/>
  <c r="C149" i="5"/>
  <c r="F149" i="5" s="1"/>
  <c r="C45" i="5"/>
  <c r="F45" i="5" s="1"/>
  <c r="C152" i="5"/>
  <c r="F152" i="5" s="1"/>
  <c r="C211" i="5"/>
  <c r="F211" i="5" s="1"/>
  <c r="C241" i="5"/>
  <c r="F241" i="5" s="1"/>
  <c r="C265" i="5"/>
  <c r="F265" i="5" s="1"/>
  <c r="C48" i="5"/>
  <c r="F48" i="5" s="1"/>
  <c r="C158" i="5"/>
  <c r="F158" i="5" s="1"/>
  <c r="C19" i="5"/>
  <c r="F19" i="5" s="1"/>
  <c r="C74" i="5"/>
  <c r="F74" i="5" s="1"/>
  <c r="C160" i="5"/>
  <c r="F160" i="5" s="1"/>
  <c r="C213" i="5"/>
  <c r="F213" i="5" s="1"/>
  <c r="C243" i="5"/>
  <c r="F243" i="5" s="1"/>
  <c r="C645" i="5"/>
  <c r="F645" i="5" s="1"/>
  <c r="C79" i="5"/>
  <c r="F79" i="5" s="1"/>
  <c r="C169" i="5"/>
  <c r="F169" i="5" s="1"/>
  <c r="C214" i="5"/>
  <c r="F214" i="5" s="1"/>
  <c r="C244" i="5"/>
  <c r="F244" i="5" s="1"/>
  <c r="C312" i="5"/>
  <c r="F312" i="5" s="1"/>
  <c r="C175" i="5"/>
  <c r="F175" i="5" s="1"/>
  <c r="C221" i="5"/>
  <c r="F221" i="5" s="1"/>
  <c r="C251" i="5"/>
  <c r="F251" i="5" s="1"/>
  <c r="C313" i="5"/>
  <c r="F313" i="5" s="1"/>
  <c r="C397" i="5"/>
  <c r="F397" i="5" s="1"/>
  <c r="C469" i="5"/>
  <c r="F469" i="5" s="1"/>
  <c r="C509" i="5"/>
  <c r="F509" i="5" s="1"/>
  <c r="C525" i="5"/>
  <c r="F525" i="5" s="1"/>
  <c r="C544" i="5"/>
  <c r="F544" i="5" s="1"/>
  <c r="C562" i="5"/>
  <c r="F562" i="5" s="1"/>
  <c r="C592" i="5"/>
  <c r="F592" i="5" s="1"/>
  <c r="C601" i="5"/>
  <c r="F601" i="5" s="1"/>
  <c r="C632" i="5"/>
  <c r="F632" i="5" s="1"/>
  <c r="C497" i="5"/>
  <c r="F497" i="5" s="1"/>
  <c r="C533" i="5"/>
  <c r="F533" i="5" s="1"/>
  <c r="C577" i="5"/>
  <c r="F577" i="5" s="1"/>
  <c r="C519" i="5"/>
  <c r="F519" i="5" s="1"/>
  <c r="C439" i="5"/>
  <c r="F439" i="5" s="1"/>
  <c r="C536" i="5"/>
  <c r="F536" i="5" s="1"/>
  <c r="C579" i="5"/>
  <c r="F579" i="5" s="1"/>
  <c r="C450" i="5"/>
  <c r="F450" i="5" s="1"/>
  <c r="C520" i="5"/>
  <c r="F520" i="5" s="1"/>
  <c r="C586" i="5"/>
  <c r="F586" i="5" s="1"/>
  <c r="C227" i="5"/>
  <c r="F227" i="5" s="1"/>
  <c r="C256" i="5"/>
  <c r="F256" i="5" s="1"/>
  <c r="C503" i="5"/>
  <c r="F503" i="5" s="1"/>
  <c r="C523" i="5"/>
  <c r="F523" i="5" s="1"/>
  <c r="C560" i="5"/>
  <c r="F560" i="5" s="1"/>
  <c r="C590" i="5"/>
  <c r="F590" i="5" s="1"/>
  <c r="C599" i="5"/>
  <c r="F599" i="5" s="1"/>
  <c r="C625" i="5"/>
  <c r="F625" i="5" s="1"/>
  <c r="C237" i="5"/>
  <c r="F237" i="5" s="1"/>
  <c r="C257" i="5"/>
  <c r="F257" i="5" s="1"/>
  <c r="C343" i="5"/>
  <c r="F343" i="5" s="1"/>
  <c r="C507" i="5"/>
  <c r="F507" i="5" s="1"/>
  <c r="C561" i="5"/>
  <c r="F561" i="5" s="1"/>
  <c r="C600" i="5"/>
  <c r="F600" i="5" s="1"/>
  <c r="C14" i="5"/>
  <c r="F14" i="5" s="1"/>
  <c r="C207" i="5"/>
  <c r="F207" i="5" s="1"/>
  <c r="C218" i="5"/>
  <c r="F218" i="5" s="1"/>
  <c r="C229" i="5"/>
  <c r="F229" i="5" s="1"/>
  <c r="C239" i="5"/>
  <c r="F239" i="5" s="1"/>
  <c r="C259" i="5"/>
  <c r="F259" i="5" s="1"/>
  <c r="C398" i="5"/>
  <c r="F398" i="5" s="1"/>
  <c r="C471" i="5"/>
  <c r="F471" i="5" s="1"/>
  <c r="C511" i="5"/>
  <c r="F511" i="5" s="1"/>
  <c r="C527" i="5"/>
  <c r="F527" i="5" s="1"/>
  <c r="C545" i="5"/>
  <c r="F545" i="5" s="1"/>
  <c r="C568" i="5"/>
  <c r="F568" i="5" s="1"/>
  <c r="C602" i="5"/>
  <c r="F602" i="5" s="1"/>
  <c r="C635" i="5"/>
  <c r="F635" i="5" s="1"/>
  <c r="C21" i="5"/>
  <c r="C499" i="5"/>
  <c r="F499" i="5" s="1"/>
  <c r="C315" i="5"/>
  <c r="C537" i="5"/>
  <c r="F537" i="5" s="1"/>
  <c r="C455" i="5"/>
  <c r="F455" i="5" s="1"/>
  <c r="C521" i="5"/>
  <c r="F521" i="5" s="1"/>
  <c r="C559" i="5"/>
  <c r="F559" i="5" s="1"/>
  <c r="C597" i="5"/>
  <c r="F597" i="5" s="1"/>
  <c r="C204" i="5"/>
  <c r="F204" i="5" s="1"/>
  <c r="C236" i="5"/>
  <c r="F236" i="5" s="1"/>
  <c r="C246" i="5"/>
  <c r="F246" i="5" s="1"/>
  <c r="C266" i="5"/>
  <c r="C325" i="5"/>
  <c r="F325" i="5" s="1"/>
  <c r="C456" i="5"/>
  <c r="F456" i="5" s="1"/>
  <c r="C542" i="5"/>
  <c r="F542" i="5" s="1"/>
  <c r="C205" i="5"/>
  <c r="F205" i="5" s="1"/>
  <c r="C228" i="5"/>
  <c r="F228" i="5" s="1"/>
  <c r="C247" i="5"/>
  <c r="F247" i="5" s="1"/>
  <c r="C384" i="5"/>
  <c r="F384" i="5" s="1"/>
  <c r="C524" i="5"/>
  <c r="F524" i="5" s="1"/>
  <c r="C206" i="5"/>
  <c r="F206" i="5" s="1"/>
  <c r="C238" i="5"/>
  <c r="F238" i="5" s="1"/>
  <c r="C258" i="5"/>
  <c r="F258" i="5" s="1"/>
  <c r="B268" i="5"/>
  <c r="B305" i="5" s="1"/>
  <c r="C272" i="5" s="1"/>
  <c r="F272" i="5" s="1"/>
  <c r="C16" i="5"/>
  <c r="F16" i="5" s="1"/>
  <c r="C32" i="5"/>
  <c r="F32" i="5" s="1"/>
  <c r="C130" i="5"/>
  <c r="F130" i="5" s="1"/>
  <c r="C17" i="5"/>
  <c r="F17" i="5" s="1"/>
  <c r="C131" i="5"/>
  <c r="F131" i="5" s="1"/>
  <c r="C208" i="5"/>
  <c r="F208" i="5" s="1"/>
  <c r="C219" i="5"/>
  <c r="F219" i="5" s="1"/>
  <c r="C230" i="5"/>
  <c r="F230" i="5" s="1"/>
  <c r="C249" i="5"/>
  <c r="F249" i="5" s="1"/>
  <c r="C260" i="5"/>
  <c r="F260" i="5" s="1"/>
  <c r="C408" i="5"/>
  <c r="F408" i="5" s="1"/>
  <c r="C480" i="5"/>
  <c r="F480" i="5" s="1"/>
  <c r="C512" i="5"/>
  <c r="F512" i="5" s="1"/>
  <c r="C529" i="5"/>
  <c r="F529" i="5" s="1"/>
  <c r="C547" i="5"/>
  <c r="F547" i="5" s="1"/>
  <c r="C571" i="5"/>
  <c r="F571" i="5" s="1"/>
  <c r="C608" i="5"/>
  <c r="F608" i="5" s="1"/>
  <c r="C637" i="5"/>
  <c r="F637" i="5" s="1"/>
  <c r="C514" i="5"/>
  <c r="F514" i="5" s="1"/>
  <c r="C535" i="5"/>
  <c r="F535" i="5" s="1"/>
  <c r="C553" i="5"/>
  <c r="F553" i="5" s="1"/>
  <c r="C578" i="5"/>
  <c r="F578" i="5" s="1"/>
  <c r="C500" i="5"/>
  <c r="F500" i="5" s="1"/>
  <c r="C554" i="5"/>
  <c r="F554" i="5" s="1"/>
  <c r="C501" i="5"/>
  <c r="F501" i="5" s="1"/>
  <c r="C555" i="5"/>
  <c r="F555" i="5" s="1"/>
  <c r="C215" i="5"/>
  <c r="F215" i="5" s="1"/>
  <c r="C226" i="5"/>
  <c r="F226" i="5" s="1"/>
  <c r="C235" i="5"/>
  <c r="F235" i="5" s="1"/>
  <c r="C245" i="5"/>
  <c r="F245" i="5" s="1"/>
  <c r="C255" i="5"/>
  <c r="F255" i="5" s="1"/>
  <c r="C502" i="5"/>
  <c r="F502" i="5" s="1"/>
  <c r="C538" i="5"/>
  <c r="F538" i="5" s="1"/>
  <c r="C624" i="5"/>
  <c r="F624" i="5" s="1"/>
  <c r="C216" i="5"/>
  <c r="F216" i="5" s="1"/>
  <c r="C468" i="5"/>
  <c r="F468" i="5" s="1"/>
  <c r="C543" i="5"/>
  <c r="F543" i="5" s="1"/>
  <c r="C591" i="5"/>
  <c r="F591" i="5" s="1"/>
  <c r="C630" i="5"/>
  <c r="F630" i="5" s="1"/>
  <c r="C217" i="5"/>
  <c r="F217" i="5" s="1"/>
  <c r="C248" i="5"/>
  <c r="F248" i="5" s="1"/>
  <c r="C18" i="5"/>
  <c r="F18" i="5" s="1"/>
  <c r="C132" i="5"/>
  <c r="F132" i="5" s="1"/>
  <c r="C209" i="5"/>
  <c r="F209" i="5" s="1"/>
  <c r="C220" i="5"/>
  <c r="F220" i="5" s="1"/>
  <c r="C231" i="5"/>
  <c r="F231" i="5" s="1"/>
  <c r="C240" i="5"/>
  <c r="F240" i="5" s="1"/>
  <c r="C410" i="5"/>
  <c r="F410" i="5" s="1"/>
  <c r="C481" i="5"/>
  <c r="F481" i="5" s="1"/>
  <c r="C513" i="5"/>
  <c r="F513" i="5" s="1"/>
  <c r="C530" i="5"/>
  <c r="F530" i="5" s="1"/>
  <c r="C573" i="5"/>
  <c r="F573" i="5" s="1"/>
  <c r="C611" i="5"/>
  <c r="F611" i="5" s="1"/>
  <c r="C638" i="5"/>
  <c r="F638" i="5" s="1"/>
  <c r="C326" i="5"/>
  <c r="F326" i="5" s="1"/>
  <c r="C104" i="5"/>
  <c r="F104" i="5" s="1"/>
  <c r="C78" i="5"/>
  <c r="F78" i="5" s="1"/>
  <c r="C54" i="5"/>
  <c r="F54" i="5" s="1"/>
  <c r="C103" i="5"/>
  <c r="F103" i="5" s="1"/>
  <c r="C77" i="5"/>
  <c r="F77" i="5" s="1"/>
  <c r="C53" i="5"/>
  <c r="F53" i="5" s="1"/>
  <c r="C344" i="5"/>
  <c r="C56" i="5"/>
  <c r="F56" i="5" s="1"/>
  <c r="C61" i="5"/>
  <c r="F61" i="5" s="1"/>
  <c r="C89" i="5"/>
  <c r="F89" i="5" s="1"/>
  <c r="C116" i="5"/>
  <c r="F116" i="5" s="1"/>
  <c r="C141" i="5"/>
  <c r="F141" i="5" s="1"/>
  <c r="C182" i="5"/>
  <c r="F182" i="5" s="1"/>
  <c r="C375" i="5"/>
  <c r="F375" i="5" s="1"/>
  <c r="C370" i="5"/>
  <c r="F370" i="5" s="1"/>
  <c r="C378" i="5"/>
  <c r="F378" i="5" s="1"/>
  <c r="C368" i="5"/>
  <c r="F368" i="5" s="1"/>
  <c r="C37" i="5"/>
  <c r="F37" i="5" s="1"/>
  <c r="C35" i="5"/>
  <c r="F35" i="5" s="1"/>
  <c r="C33" i="5"/>
  <c r="F33" i="5" s="1"/>
  <c r="C66" i="5"/>
  <c r="F66" i="5" s="1"/>
  <c r="C92" i="5"/>
  <c r="F92" i="5" s="1"/>
  <c r="C144" i="5"/>
  <c r="F144" i="5" s="1"/>
  <c r="C184" i="5"/>
  <c r="F184" i="5" s="1"/>
  <c r="C311" i="5"/>
  <c r="F311" i="5" s="1"/>
  <c r="C310" i="5"/>
  <c r="F310" i="5" s="1"/>
  <c r="C371" i="5"/>
  <c r="F371" i="5" s="1"/>
  <c r="C336" i="5"/>
  <c r="F336" i="5" s="1"/>
  <c r="C338" i="5"/>
  <c r="F338" i="5" s="1"/>
  <c r="C324" i="5"/>
  <c r="F324" i="5" s="1"/>
  <c r="C337" i="5"/>
  <c r="F337" i="5" s="1"/>
  <c r="C321" i="5"/>
  <c r="F321" i="5" s="1"/>
  <c r="C52" i="5"/>
  <c r="F52" i="5" s="1"/>
  <c r="C80" i="5"/>
  <c r="F80" i="5" s="1"/>
  <c r="C330" i="5"/>
  <c r="F330" i="5" s="1"/>
  <c r="C82" i="5"/>
  <c r="F82" i="5" s="1"/>
  <c r="C113" i="5"/>
  <c r="C117" i="5"/>
  <c r="F117" i="5" s="1"/>
  <c r="C124" i="5"/>
  <c r="F124" i="5" s="1"/>
  <c r="B195" i="5"/>
  <c r="C120" i="5"/>
  <c r="F120" i="5" s="1"/>
  <c r="C119" i="5"/>
  <c r="F119" i="5" s="1"/>
  <c r="C331" i="5"/>
  <c r="F331" i="5" s="1"/>
  <c r="C60" i="5"/>
  <c r="F60" i="5" s="1"/>
  <c r="C87" i="5"/>
  <c r="F87" i="5" s="1"/>
  <c r="C68" i="5"/>
  <c r="F68" i="5" s="1"/>
  <c r="C94" i="5"/>
  <c r="F94" i="5" s="1"/>
  <c r="C125" i="5"/>
  <c r="F125" i="5" s="1"/>
  <c r="C146" i="5"/>
  <c r="F146" i="5" s="1"/>
  <c r="C188" i="5"/>
  <c r="F188" i="5" s="1"/>
  <c r="C333" i="5"/>
  <c r="F333" i="5" s="1"/>
  <c r="C43" i="5"/>
  <c r="F43" i="5" s="1"/>
  <c r="C69" i="5"/>
  <c r="F69" i="5" s="1"/>
  <c r="C98" i="5"/>
  <c r="F98" i="5" s="1"/>
  <c r="C126" i="5"/>
  <c r="F126" i="5" s="1"/>
  <c r="C339" i="5"/>
  <c r="F339" i="5" s="1"/>
  <c r="C372" i="5"/>
  <c r="F372" i="5" s="1"/>
  <c r="C57" i="5"/>
  <c r="F57" i="5" s="1"/>
  <c r="C86" i="5"/>
  <c r="F86" i="5" s="1"/>
  <c r="C115" i="5"/>
  <c r="F115" i="5" s="1"/>
  <c r="C70" i="5"/>
  <c r="F70" i="5" s="1"/>
  <c r="C100" i="5"/>
  <c r="F100" i="5" s="1"/>
  <c r="C127" i="5"/>
  <c r="F127" i="5" s="1"/>
  <c r="C168" i="5"/>
  <c r="F168" i="5" s="1"/>
  <c r="C140" i="5"/>
  <c r="F140" i="5" s="1"/>
  <c r="C164" i="5"/>
  <c r="F164" i="5" s="1"/>
  <c r="C139" i="5"/>
  <c r="F139" i="5" s="1"/>
  <c r="C163" i="5"/>
  <c r="F163" i="5" s="1"/>
  <c r="C319" i="5"/>
  <c r="F319" i="5" s="1"/>
  <c r="C342" i="5"/>
  <c r="F342" i="5" s="1"/>
  <c r="C373" i="5"/>
  <c r="F373" i="5" s="1"/>
  <c r="C15" i="5"/>
  <c r="F15" i="5" s="1"/>
  <c r="C26" i="5"/>
  <c r="F26" i="5" s="1"/>
  <c r="C44" i="5"/>
  <c r="F44" i="5" s="1"/>
  <c r="C72" i="5"/>
  <c r="F72" i="5" s="1"/>
  <c r="C105" i="5"/>
  <c r="F105" i="5" s="1"/>
  <c r="C129" i="5"/>
  <c r="F129" i="5" s="1"/>
  <c r="C150" i="5"/>
  <c r="F150" i="5" s="1"/>
  <c r="C192" i="5"/>
  <c r="C320" i="5"/>
  <c r="F320" i="5" s="1"/>
  <c r="C583" i="5"/>
  <c r="F583" i="5" s="1"/>
  <c r="C505" i="5"/>
  <c r="F505" i="5" s="1"/>
  <c r="C515" i="5"/>
  <c r="F515" i="5" s="1"/>
  <c r="C526" i="5"/>
  <c r="F526" i="5" s="1"/>
  <c r="C549" i="5"/>
  <c r="F549" i="5" s="1"/>
  <c r="C566" i="5"/>
  <c r="F566" i="5" s="1"/>
  <c r="C584" i="5"/>
  <c r="F584" i="5" s="1"/>
  <c r="C607" i="5"/>
  <c r="F607" i="5" s="1"/>
  <c r="C496" i="5"/>
  <c r="F496" i="5" s="1"/>
  <c r="C506" i="5"/>
  <c r="F506" i="5" s="1"/>
  <c r="C518" i="5"/>
  <c r="F518" i="5" s="1"/>
  <c r="C539" i="5"/>
  <c r="F539" i="5" s="1"/>
  <c r="C550" i="5"/>
  <c r="F550" i="5" s="1"/>
  <c r="C567" i="5"/>
  <c r="F567" i="5" s="1"/>
  <c r="C585" i="5"/>
  <c r="F585" i="5" s="1"/>
  <c r="C631" i="5"/>
  <c r="F631" i="5" s="1"/>
  <c r="C73" i="6"/>
  <c r="C68" i="6"/>
  <c r="C74" i="6"/>
  <c r="C45" i="6"/>
  <c r="C24" i="6"/>
  <c r="C35" i="6"/>
  <c r="C42" i="6"/>
  <c r="C58" i="6"/>
  <c r="B104" i="6"/>
  <c r="C99" i="6" s="1"/>
  <c r="C19" i="6"/>
  <c r="C31" i="6"/>
  <c r="C39" i="6"/>
  <c r="C49" i="6"/>
  <c r="C36" i="6"/>
  <c r="C43" i="6"/>
  <c r="C46" i="6"/>
  <c r="B169" i="6"/>
  <c r="C163" i="6" s="1"/>
  <c r="C30" i="6"/>
  <c r="C32" i="6"/>
  <c r="C50" i="6"/>
  <c r="C34" i="6"/>
  <c r="C71" i="6"/>
  <c r="C37" i="6"/>
  <c r="C47" i="6"/>
  <c r="C404" i="5"/>
  <c r="F404" i="5" s="1"/>
  <c r="C479" i="5"/>
  <c r="F479" i="5" s="1"/>
  <c r="C437" i="5"/>
  <c r="F437" i="5" s="1"/>
  <c r="C431" i="5"/>
  <c r="F431" i="5" s="1"/>
  <c r="C425" i="5"/>
  <c r="F425" i="5" s="1"/>
  <c r="C419" i="5"/>
  <c r="F419" i="5" s="1"/>
  <c r="C413" i="5"/>
  <c r="F413" i="5" s="1"/>
  <c r="C407" i="5"/>
  <c r="F407" i="5" s="1"/>
  <c r="C401" i="5"/>
  <c r="F401" i="5" s="1"/>
  <c r="C395" i="5"/>
  <c r="F395" i="5" s="1"/>
  <c r="C389" i="5"/>
  <c r="F389" i="5" s="1"/>
  <c r="C490" i="5"/>
  <c r="F490" i="5" s="1"/>
  <c r="C484" i="5"/>
  <c r="F484" i="5" s="1"/>
  <c r="C478" i="5"/>
  <c r="F478" i="5" s="1"/>
  <c r="C472" i="5"/>
  <c r="F472" i="5" s="1"/>
  <c r="C466" i="5"/>
  <c r="F466" i="5" s="1"/>
  <c r="C460" i="5"/>
  <c r="F460" i="5" s="1"/>
  <c r="C454" i="5"/>
  <c r="F454" i="5" s="1"/>
  <c r="C448" i="5"/>
  <c r="F448" i="5" s="1"/>
  <c r="C442" i="5"/>
  <c r="F442" i="5" s="1"/>
  <c r="C436" i="5"/>
  <c r="F436" i="5" s="1"/>
  <c r="C430" i="5"/>
  <c r="F430" i="5" s="1"/>
  <c r="C424" i="5"/>
  <c r="F424" i="5" s="1"/>
  <c r="C418" i="5"/>
  <c r="F418" i="5" s="1"/>
  <c r="C412" i="5"/>
  <c r="F412" i="5" s="1"/>
  <c r="C406" i="5"/>
  <c r="F406" i="5" s="1"/>
  <c r="C400" i="5"/>
  <c r="F400" i="5" s="1"/>
  <c r="C394" i="5"/>
  <c r="F394" i="5" s="1"/>
  <c r="C388" i="5"/>
  <c r="F388" i="5" s="1"/>
  <c r="C475" i="5"/>
  <c r="F475" i="5" s="1"/>
  <c r="C451" i="5"/>
  <c r="F451" i="5" s="1"/>
  <c r="C435" i="5"/>
  <c r="F435" i="5" s="1"/>
  <c r="C420" i="5"/>
  <c r="F420" i="5" s="1"/>
  <c r="C411" i="5"/>
  <c r="F411" i="5" s="1"/>
  <c r="C396" i="5"/>
  <c r="F396" i="5" s="1"/>
  <c r="C387" i="5"/>
  <c r="F387" i="5" s="1"/>
  <c r="C491" i="5"/>
  <c r="F491" i="5" s="1"/>
  <c r="C482" i="5"/>
  <c r="F482" i="5" s="1"/>
  <c r="C467" i="5"/>
  <c r="F467" i="5" s="1"/>
  <c r="C458" i="5"/>
  <c r="F458" i="5" s="1"/>
  <c r="C443" i="5"/>
  <c r="F443" i="5" s="1"/>
  <c r="C427" i="5"/>
  <c r="F427" i="5" s="1"/>
  <c r="C403" i="5"/>
  <c r="F403" i="5" s="1"/>
  <c r="C488" i="5"/>
  <c r="F488" i="5" s="1"/>
  <c r="C473" i="5"/>
  <c r="F473" i="5" s="1"/>
  <c r="C464" i="5"/>
  <c r="F464" i="5" s="1"/>
  <c r="C449" i="5"/>
  <c r="F449" i="5" s="1"/>
  <c r="C440" i="5"/>
  <c r="F440" i="5" s="1"/>
  <c r="C433" i="5"/>
  <c r="F433" i="5" s="1"/>
  <c r="C409" i="5"/>
  <c r="F409" i="5" s="1"/>
  <c r="C385" i="5"/>
  <c r="F385" i="5" s="1"/>
  <c r="C487" i="5"/>
  <c r="F487" i="5" s="1"/>
  <c r="C465" i="5"/>
  <c r="F465" i="5" s="1"/>
  <c r="C445" i="5"/>
  <c r="F445" i="5" s="1"/>
  <c r="C434" i="5"/>
  <c r="F434" i="5" s="1"/>
  <c r="C423" i="5"/>
  <c r="F423" i="5" s="1"/>
  <c r="C414" i="5"/>
  <c r="F414" i="5" s="1"/>
  <c r="C486" i="5"/>
  <c r="F486" i="5" s="1"/>
  <c r="C453" i="5"/>
  <c r="F453" i="5" s="1"/>
  <c r="C444" i="5"/>
  <c r="F444" i="5" s="1"/>
  <c r="C422" i="5"/>
  <c r="F422" i="5" s="1"/>
  <c r="C485" i="5"/>
  <c r="F485" i="5" s="1"/>
  <c r="C452" i="5"/>
  <c r="F452" i="5" s="1"/>
  <c r="C421" i="5"/>
  <c r="F421" i="5" s="1"/>
  <c r="C477" i="5"/>
  <c r="F477" i="5" s="1"/>
  <c r="C462" i="5"/>
  <c r="F462" i="5" s="1"/>
  <c r="C447" i="5"/>
  <c r="F447" i="5" s="1"/>
  <c r="C392" i="5"/>
  <c r="F392" i="5" s="1"/>
  <c r="C489" i="5"/>
  <c r="F489" i="5" s="1"/>
  <c r="C476" i="5"/>
  <c r="F476" i="5" s="1"/>
  <c r="C405" i="5"/>
  <c r="F405" i="5" s="1"/>
  <c r="C391" i="5"/>
  <c r="F391" i="5" s="1"/>
  <c r="C474" i="5"/>
  <c r="F474" i="5" s="1"/>
  <c r="C461" i="5"/>
  <c r="F461" i="5" s="1"/>
  <c r="C446" i="5"/>
  <c r="F446" i="5" s="1"/>
  <c r="C432" i="5"/>
  <c r="F432" i="5" s="1"/>
  <c r="C417" i="5"/>
  <c r="F417" i="5" s="1"/>
  <c r="C390" i="5"/>
  <c r="F390" i="5" s="1"/>
  <c r="C429" i="5"/>
  <c r="F429" i="5" s="1"/>
  <c r="C402" i="5"/>
  <c r="F402" i="5" s="1"/>
  <c r="C386" i="5"/>
  <c r="F386" i="5" s="1"/>
  <c r="C470" i="5"/>
  <c r="F470" i="5" s="1"/>
  <c r="C457" i="5"/>
  <c r="F457" i="5" s="1"/>
  <c r="C441" i="5"/>
  <c r="F441" i="5" s="1"/>
  <c r="C415" i="5"/>
  <c r="F415" i="5" s="1"/>
  <c r="C399" i="5"/>
  <c r="F399" i="5" s="1"/>
  <c r="C483" i="5"/>
  <c r="F483" i="5" s="1"/>
  <c r="C459" i="5"/>
  <c r="F459" i="5" s="1"/>
  <c r="C361" i="5"/>
  <c r="F361" i="5" s="1"/>
  <c r="C355" i="5"/>
  <c r="F355" i="5" s="1"/>
  <c r="C349" i="5"/>
  <c r="F349" i="5" s="1"/>
  <c r="C360" i="5"/>
  <c r="F360" i="5" s="1"/>
  <c r="C354" i="5"/>
  <c r="F354" i="5" s="1"/>
  <c r="C348" i="5"/>
  <c r="F348" i="5" s="1"/>
  <c r="C362" i="5"/>
  <c r="F362" i="5" s="1"/>
  <c r="C353" i="5"/>
  <c r="F353" i="5" s="1"/>
  <c r="C359" i="5"/>
  <c r="F359" i="5" s="1"/>
  <c r="C363" i="5"/>
  <c r="F363" i="5" s="1"/>
  <c r="C351" i="5"/>
  <c r="F351" i="5" s="1"/>
  <c r="C350" i="5"/>
  <c r="F350" i="5" s="1"/>
  <c r="C358" i="5"/>
  <c r="F358" i="5" s="1"/>
  <c r="C356" i="5"/>
  <c r="F356" i="5" s="1"/>
  <c r="C352" i="5"/>
  <c r="F352" i="5" s="1"/>
  <c r="C364" i="5"/>
  <c r="C438" i="5"/>
  <c r="F438" i="5" s="1"/>
  <c r="C463" i="5"/>
  <c r="F463" i="5" s="1"/>
  <c r="C110" i="5"/>
  <c r="F110" i="5" s="1"/>
  <c r="C97" i="5"/>
  <c r="F97" i="5" s="1"/>
  <c r="C84" i="5"/>
  <c r="F84" i="5" s="1"/>
  <c r="C71" i="5"/>
  <c r="F71" i="5" s="1"/>
  <c r="C64" i="5"/>
  <c r="F64" i="5" s="1"/>
  <c r="C51" i="5"/>
  <c r="F51" i="5" s="1"/>
  <c r="C109" i="5"/>
  <c r="F109" i="5" s="1"/>
  <c r="C96" i="5"/>
  <c r="F96" i="5" s="1"/>
  <c r="C83" i="5"/>
  <c r="F83" i="5" s="1"/>
  <c r="C76" i="5"/>
  <c r="F76" i="5" s="1"/>
  <c r="C63" i="5"/>
  <c r="F63" i="5" s="1"/>
  <c r="C50" i="5"/>
  <c r="F50" i="5" s="1"/>
  <c r="B194" i="5"/>
  <c r="C108" i="5"/>
  <c r="F108" i="5" s="1"/>
  <c r="C95" i="5"/>
  <c r="F95" i="5" s="1"/>
  <c r="C88" i="5"/>
  <c r="F88" i="5" s="1"/>
  <c r="C75" i="5"/>
  <c r="F75" i="5" s="1"/>
  <c r="C62" i="5"/>
  <c r="F62" i="5" s="1"/>
  <c r="C49" i="5"/>
  <c r="F49" i="5" s="1"/>
  <c r="C111" i="5"/>
  <c r="F111" i="5" s="1"/>
  <c r="C102" i="5"/>
  <c r="F102" i="5" s="1"/>
  <c r="C93" i="5"/>
  <c r="F93" i="5" s="1"/>
  <c r="C85" i="5"/>
  <c r="F85" i="5" s="1"/>
  <c r="C67" i="5"/>
  <c r="F67" i="5" s="1"/>
  <c r="C59" i="5"/>
  <c r="F59" i="5" s="1"/>
  <c r="C101" i="5"/>
  <c r="F101" i="5" s="1"/>
  <c r="C58" i="5"/>
  <c r="F58" i="5" s="1"/>
  <c r="C99" i="5"/>
  <c r="F99" i="5" s="1"/>
  <c r="C91" i="5"/>
  <c r="F91" i="5" s="1"/>
  <c r="C81" i="5"/>
  <c r="F81" i="5" s="1"/>
  <c r="C73" i="5"/>
  <c r="F73" i="5" s="1"/>
  <c r="C65" i="5"/>
  <c r="F65" i="5" s="1"/>
  <c r="C55" i="5"/>
  <c r="F55" i="5" s="1"/>
  <c r="C47" i="5"/>
  <c r="F47" i="5" s="1"/>
  <c r="C107" i="5"/>
  <c r="F107" i="5" s="1"/>
  <c r="C90" i="5"/>
  <c r="F90" i="5" s="1"/>
  <c r="C46" i="5"/>
  <c r="F46" i="5" s="1"/>
  <c r="C191" i="5"/>
  <c r="F191" i="5" s="1"/>
  <c r="C185" i="5"/>
  <c r="F185" i="5" s="1"/>
  <c r="C179" i="5"/>
  <c r="F179" i="5" s="1"/>
  <c r="C173" i="5"/>
  <c r="F173" i="5" s="1"/>
  <c r="C167" i="5"/>
  <c r="F167" i="5" s="1"/>
  <c r="C161" i="5"/>
  <c r="F161" i="5" s="1"/>
  <c r="C155" i="5"/>
  <c r="F155" i="5" s="1"/>
  <c r="C189" i="5"/>
  <c r="F189" i="5" s="1"/>
  <c r="C183" i="5"/>
  <c r="F183" i="5" s="1"/>
  <c r="C177" i="5"/>
  <c r="F177" i="5" s="1"/>
  <c r="C171" i="5"/>
  <c r="F171" i="5" s="1"/>
  <c r="C165" i="5"/>
  <c r="F165" i="5" s="1"/>
  <c r="C159" i="5"/>
  <c r="F159" i="5" s="1"/>
  <c r="C153" i="5"/>
  <c r="F153" i="5" s="1"/>
  <c r="C181" i="5"/>
  <c r="F181" i="5" s="1"/>
  <c r="C157" i="5"/>
  <c r="F157" i="5" s="1"/>
  <c r="C143" i="5"/>
  <c r="F143" i="5" s="1"/>
  <c r="C180" i="5"/>
  <c r="F180" i="5" s="1"/>
  <c r="C156" i="5"/>
  <c r="F156" i="5" s="1"/>
  <c r="C148" i="5"/>
  <c r="F148" i="5" s="1"/>
  <c r="C178" i="5"/>
  <c r="F178" i="5" s="1"/>
  <c r="C170" i="5"/>
  <c r="F170" i="5" s="1"/>
  <c r="C154" i="5"/>
  <c r="F154" i="5" s="1"/>
  <c r="C147" i="5"/>
  <c r="F147" i="5" s="1"/>
  <c r="C187" i="5"/>
  <c r="F187" i="5" s="1"/>
  <c r="C176" i="5"/>
  <c r="F176" i="5" s="1"/>
  <c r="C166" i="5"/>
  <c r="F166" i="5" s="1"/>
  <c r="B196" i="5"/>
  <c r="C186" i="5"/>
  <c r="F186" i="5" s="1"/>
  <c r="C145" i="5"/>
  <c r="F145" i="5" s="1"/>
  <c r="C174" i="5"/>
  <c r="F174" i="5" s="1"/>
  <c r="C162" i="5"/>
  <c r="F162" i="5" s="1"/>
  <c r="C172" i="5"/>
  <c r="F172" i="5" s="1"/>
  <c r="C151" i="5"/>
  <c r="F151" i="5" s="1"/>
  <c r="C142" i="5"/>
  <c r="F142" i="5" s="1"/>
  <c r="C393" i="5"/>
  <c r="F393" i="5" s="1"/>
  <c r="C492" i="5"/>
  <c r="C29" i="5"/>
  <c r="F29" i="5" s="1"/>
  <c r="C278" i="5"/>
  <c r="F278" i="5" s="1"/>
  <c r="C269" i="5"/>
  <c r="F269" i="5" s="1"/>
  <c r="C36" i="5"/>
  <c r="F36" i="5" s="1"/>
  <c r="C34" i="5"/>
  <c r="F34" i="5" s="1"/>
  <c r="C136" i="5"/>
  <c r="F136" i="5" s="1"/>
  <c r="C123" i="5"/>
  <c r="F123" i="5" s="1"/>
  <c r="C135" i="5"/>
  <c r="F135" i="5" s="1"/>
  <c r="C122" i="5"/>
  <c r="F122" i="5" s="1"/>
  <c r="C134" i="5"/>
  <c r="F134" i="5" s="1"/>
  <c r="C121" i="5"/>
  <c r="F121" i="5" s="1"/>
  <c r="C39" i="5"/>
  <c r="C128" i="5"/>
  <c r="F128" i="5" s="1"/>
  <c r="C137" i="5"/>
  <c r="C614" i="5"/>
  <c r="F614" i="5" s="1"/>
  <c r="C647" i="5"/>
  <c r="F647" i="5" s="1"/>
  <c r="C606" i="5"/>
  <c r="F606" i="5" s="1"/>
  <c r="C615" i="5"/>
  <c r="F615" i="5" s="1"/>
  <c r="C626" i="5"/>
  <c r="F626" i="5" s="1"/>
  <c r="C6" i="5"/>
  <c r="F6" i="5" s="1"/>
  <c r="C646" i="5"/>
  <c r="F646" i="5" s="1"/>
  <c r="C640" i="5"/>
  <c r="F640" i="5" s="1"/>
  <c r="C634" i="5"/>
  <c r="F634" i="5" s="1"/>
  <c r="C628" i="5"/>
  <c r="F628" i="5" s="1"/>
  <c r="C622" i="5"/>
  <c r="F622" i="5" s="1"/>
  <c r="C616" i="5"/>
  <c r="F616" i="5" s="1"/>
  <c r="C610" i="5"/>
  <c r="F610" i="5" s="1"/>
  <c r="C604" i="5"/>
  <c r="F604" i="5" s="1"/>
  <c r="C598" i="5"/>
  <c r="F598" i="5" s="1"/>
  <c r="C644" i="5"/>
  <c r="F644" i="5" s="1"/>
  <c r="C629" i="5"/>
  <c r="F629" i="5" s="1"/>
  <c r="C620" i="5"/>
  <c r="F620" i="5" s="1"/>
  <c r="C605" i="5"/>
  <c r="F605" i="5" s="1"/>
  <c r="C636" i="5"/>
  <c r="F636" i="5" s="1"/>
  <c r="C627" i="5"/>
  <c r="F627" i="5" s="1"/>
  <c r="C612" i="5"/>
  <c r="F612" i="5" s="1"/>
  <c r="C603" i="5"/>
  <c r="F603" i="5" s="1"/>
  <c r="C649" i="5"/>
  <c r="C642" i="5"/>
  <c r="F642" i="5" s="1"/>
  <c r="C633" i="5"/>
  <c r="F633" i="5" s="1"/>
  <c r="C618" i="5"/>
  <c r="F618" i="5" s="1"/>
  <c r="C609" i="5"/>
  <c r="F609" i="5" s="1"/>
  <c r="C327" i="5"/>
  <c r="F327" i="5" s="1"/>
  <c r="C508" i="5"/>
  <c r="F508" i="5" s="1"/>
  <c r="C517" i="5"/>
  <c r="F517" i="5" s="1"/>
  <c r="C532" i="5"/>
  <c r="F532" i="5" s="1"/>
  <c r="C541" i="5"/>
  <c r="F541" i="5" s="1"/>
  <c r="C341" i="5"/>
  <c r="F341" i="5" s="1"/>
  <c r="C335" i="5"/>
  <c r="F335" i="5" s="1"/>
  <c r="C329" i="5"/>
  <c r="F329" i="5" s="1"/>
  <c r="C323" i="5"/>
  <c r="F323" i="5" s="1"/>
  <c r="C340" i="5"/>
  <c r="F340" i="5" s="1"/>
  <c r="C334" i="5"/>
  <c r="F334" i="5" s="1"/>
  <c r="C328" i="5"/>
  <c r="F328" i="5" s="1"/>
  <c r="C322" i="5"/>
  <c r="F322" i="5" s="1"/>
  <c r="C588" i="5"/>
  <c r="F588" i="5" s="1"/>
  <c r="C582" i="5"/>
  <c r="F582" i="5" s="1"/>
  <c r="C576" i="5"/>
  <c r="F576" i="5" s="1"/>
  <c r="C570" i="5"/>
  <c r="F570" i="5" s="1"/>
  <c r="C564" i="5"/>
  <c r="F564" i="5" s="1"/>
  <c r="C558" i="5"/>
  <c r="F558" i="5" s="1"/>
  <c r="C552" i="5"/>
  <c r="F552" i="5" s="1"/>
  <c r="C593" i="5"/>
  <c r="C546" i="5"/>
  <c r="F546" i="5" s="1"/>
  <c r="C540" i="5"/>
  <c r="F540" i="5" s="1"/>
  <c r="C534" i="5"/>
  <c r="F534" i="5" s="1"/>
  <c r="C528" i="5"/>
  <c r="F528" i="5" s="1"/>
  <c r="C522" i="5"/>
  <c r="F522" i="5" s="1"/>
  <c r="C516" i="5"/>
  <c r="F516" i="5" s="1"/>
  <c r="C510" i="5"/>
  <c r="F510" i="5" s="1"/>
  <c r="C504" i="5"/>
  <c r="F504" i="5" s="1"/>
  <c r="C498" i="5"/>
  <c r="F498" i="5" s="1"/>
  <c r="C587" i="5"/>
  <c r="F587" i="5" s="1"/>
  <c r="C581" i="5"/>
  <c r="F581" i="5" s="1"/>
  <c r="C575" i="5"/>
  <c r="F575" i="5" s="1"/>
  <c r="C569" i="5"/>
  <c r="F569" i="5" s="1"/>
  <c r="C563" i="5"/>
  <c r="F563" i="5" s="1"/>
  <c r="C557" i="5"/>
  <c r="F557" i="5" s="1"/>
  <c r="C551" i="5"/>
  <c r="F551" i="5" s="1"/>
  <c r="C556" i="5"/>
  <c r="F556" i="5" s="1"/>
  <c r="C565" i="5"/>
  <c r="F565" i="5" s="1"/>
  <c r="C580" i="5"/>
  <c r="F580" i="5" s="1"/>
  <c r="C589" i="5"/>
  <c r="F589" i="5" s="1"/>
  <c r="C380" i="5"/>
  <c r="C369" i="5"/>
  <c r="F369" i="5" s="1"/>
  <c r="C26" i="3"/>
  <c r="F26" i="3" s="1"/>
  <c r="C27" i="3"/>
  <c r="F27" i="3" s="1"/>
  <c r="C380" i="3"/>
  <c r="F380" i="3" s="1"/>
  <c r="C253" i="3"/>
  <c r="F253" i="3" s="1"/>
  <c r="C265" i="3"/>
  <c r="F265" i="3" s="1"/>
  <c r="C9" i="3"/>
  <c r="F9" i="3" s="1"/>
  <c r="C617" i="3"/>
  <c r="F617" i="3" s="1"/>
  <c r="C344" i="3"/>
  <c r="F344" i="3" s="1"/>
  <c r="C638" i="3"/>
  <c r="F638" i="3" s="1"/>
  <c r="C618" i="3"/>
  <c r="F618" i="3" s="1"/>
  <c r="C619" i="3"/>
  <c r="F619" i="3" s="1"/>
  <c r="C624" i="3"/>
  <c r="F624" i="3" s="1"/>
  <c r="C625" i="3"/>
  <c r="F625" i="3" s="1"/>
  <c r="C599" i="3"/>
  <c r="F599" i="3" s="1"/>
  <c r="C629" i="3"/>
  <c r="F629" i="3" s="1"/>
  <c r="C119" i="3"/>
  <c r="F119" i="3" s="1"/>
  <c r="C602" i="3"/>
  <c r="F602" i="3" s="1"/>
  <c r="C636" i="3"/>
  <c r="F636" i="3" s="1"/>
  <c r="C120" i="3"/>
  <c r="F120" i="3" s="1"/>
  <c r="C603" i="3"/>
  <c r="F603" i="3" s="1"/>
  <c r="C637" i="3"/>
  <c r="F637" i="3" s="1"/>
  <c r="C121" i="3"/>
  <c r="F121" i="3" s="1"/>
  <c r="C605" i="3"/>
  <c r="F605" i="3" s="1"/>
  <c r="C639" i="3"/>
  <c r="F639" i="3" s="1"/>
  <c r="C133" i="3"/>
  <c r="F133" i="3" s="1"/>
  <c r="C614" i="3"/>
  <c r="F614" i="3" s="1"/>
  <c r="C641" i="3"/>
  <c r="F641" i="3" s="1"/>
  <c r="C132" i="3"/>
  <c r="F132" i="3" s="1"/>
  <c r="C608" i="3"/>
  <c r="F608" i="3" s="1"/>
  <c r="C20" i="3"/>
  <c r="F20" i="3" s="1"/>
  <c r="C135" i="3"/>
  <c r="F135" i="3" s="1"/>
  <c r="C615" i="3"/>
  <c r="F615" i="3" s="1"/>
  <c r="C647" i="3"/>
  <c r="F647" i="3" s="1"/>
  <c r="C28" i="3"/>
  <c r="F28" i="3" s="1"/>
  <c r="C31" i="3"/>
  <c r="F31" i="3" s="1"/>
  <c r="C33" i="3"/>
  <c r="F33" i="3" s="1"/>
  <c r="B196" i="3"/>
  <c r="C645" i="3"/>
  <c r="F645" i="3" s="1"/>
  <c r="C222" i="3"/>
  <c r="F222" i="3" s="1"/>
  <c r="C234" i="3"/>
  <c r="F234" i="3" s="1"/>
  <c r="C15" i="3"/>
  <c r="F15" i="3" s="1"/>
  <c r="C16" i="3"/>
  <c r="F16" i="3" s="1"/>
  <c r="C34" i="3"/>
  <c r="F34" i="3" s="1"/>
  <c r="C148" i="3"/>
  <c r="F148" i="3" s="1"/>
  <c r="C322" i="3"/>
  <c r="F322" i="3" s="1"/>
  <c r="C606" i="3"/>
  <c r="F606" i="3" s="1"/>
  <c r="C626" i="3"/>
  <c r="F626" i="3" s="1"/>
  <c r="C648" i="3"/>
  <c r="F648" i="3" s="1"/>
  <c r="C17" i="3"/>
  <c r="F17" i="3" s="1"/>
  <c r="C38" i="3"/>
  <c r="F38" i="3" s="1"/>
  <c r="C161" i="3"/>
  <c r="F161" i="3" s="1"/>
  <c r="C323" i="3"/>
  <c r="F323" i="3" s="1"/>
  <c r="C607" i="3"/>
  <c r="F607" i="3" s="1"/>
  <c r="C627" i="3"/>
  <c r="F627" i="3" s="1"/>
  <c r="C649" i="3"/>
  <c r="F649" i="3" s="1"/>
  <c r="C14" i="3"/>
  <c r="F14" i="3" s="1"/>
  <c r="C18" i="3"/>
  <c r="F18" i="3" s="1"/>
  <c r="C174" i="3"/>
  <c r="F174" i="3" s="1"/>
  <c r="C340" i="3"/>
  <c r="F340" i="3" s="1"/>
  <c r="C19" i="3"/>
  <c r="F19" i="3" s="1"/>
  <c r="C192" i="3"/>
  <c r="F192" i="3" s="1"/>
  <c r="C342" i="3"/>
  <c r="F342" i="3" s="1"/>
  <c r="C613" i="3"/>
  <c r="F613" i="3" s="1"/>
  <c r="C630" i="3"/>
  <c r="F630" i="3" s="1"/>
  <c r="C650" i="3"/>
  <c r="C429" i="3"/>
  <c r="F429" i="3" s="1"/>
  <c r="C409" i="3"/>
  <c r="F409" i="3" s="1"/>
  <c r="C395" i="3"/>
  <c r="F395" i="3" s="1"/>
  <c r="C480" i="3"/>
  <c r="F480" i="3" s="1"/>
  <c r="C424" i="3"/>
  <c r="F424" i="3" s="1"/>
  <c r="C442" i="3"/>
  <c r="F442" i="3" s="1"/>
  <c r="C441" i="3"/>
  <c r="F441" i="3" s="1"/>
  <c r="C433" i="3"/>
  <c r="F433" i="3" s="1"/>
  <c r="C479" i="3"/>
  <c r="F479" i="3" s="1"/>
  <c r="C463" i="3"/>
  <c r="F463" i="3" s="1"/>
  <c r="C477" i="3"/>
  <c r="F477" i="3" s="1"/>
  <c r="C418" i="3"/>
  <c r="F418" i="3" s="1"/>
  <c r="C394" i="3"/>
  <c r="F394" i="3" s="1"/>
  <c r="C462" i="3"/>
  <c r="F462" i="3" s="1"/>
  <c r="C408" i="3"/>
  <c r="F408" i="3" s="1"/>
  <c r="C443" i="3"/>
  <c r="F443" i="3" s="1"/>
  <c r="C149" i="3"/>
  <c r="F149" i="3" s="1"/>
  <c r="C175" i="3"/>
  <c r="F175" i="3" s="1"/>
  <c r="C235" i="3"/>
  <c r="F235" i="3" s="1"/>
  <c r="C245" i="3"/>
  <c r="F245" i="3" s="1"/>
  <c r="B269" i="3"/>
  <c r="B306" i="3" s="1"/>
  <c r="C123" i="3"/>
  <c r="F123" i="3" s="1"/>
  <c r="C215" i="3"/>
  <c r="F215" i="3" s="1"/>
  <c r="C124" i="3"/>
  <c r="F124" i="3" s="1"/>
  <c r="C180" i="3"/>
  <c r="F180" i="3" s="1"/>
  <c r="C227" i="3"/>
  <c r="F227" i="3" s="1"/>
  <c r="C324" i="3"/>
  <c r="F324" i="3" s="1"/>
  <c r="C37" i="3"/>
  <c r="F37" i="3" s="1"/>
  <c r="C125" i="3"/>
  <c r="F125" i="3" s="1"/>
  <c r="C138" i="3"/>
  <c r="C153" i="3"/>
  <c r="F153" i="3" s="1"/>
  <c r="C167" i="3"/>
  <c r="F167" i="3" s="1"/>
  <c r="C181" i="3"/>
  <c r="F181" i="3" s="1"/>
  <c r="C205" i="3"/>
  <c r="F205" i="3" s="1"/>
  <c r="C228" i="3"/>
  <c r="F228" i="3" s="1"/>
  <c r="C239" i="3"/>
  <c r="F239" i="3" s="1"/>
  <c r="C249" i="3"/>
  <c r="F249" i="3" s="1"/>
  <c r="C259" i="3"/>
  <c r="F259" i="3" s="1"/>
  <c r="C311" i="3"/>
  <c r="F311" i="3" s="1"/>
  <c r="C326" i="3"/>
  <c r="F326" i="3" s="1"/>
  <c r="C202" i="3"/>
  <c r="F202" i="3" s="1"/>
  <c r="C177" i="3"/>
  <c r="F177" i="3" s="1"/>
  <c r="C203" i="3"/>
  <c r="F203" i="3" s="1"/>
  <c r="C256" i="3"/>
  <c r="F256" i="3" s="1"/>
  <c r="C136" i="3"/>
  <c r="F136" i="3" s="1"/>
  <c r="C204" i="3"/>
  <c r="F204" i="3" s="1"/>
  <c r="C310" i="3"/>
  <c r="F310" i="3" s="1"/>
  <c r="C247" i="3"/>
  <c r="F247" i="3" s="1"/>
  <c r="C168" i="3"/>
  <c r="F168" i="3" s="1"/>
  <c r="C207" i="3"/>
  <c r="F207" i="3" s="1"/>
  <c r="C330" i="3"/>
  <c r="F330" i="3" s="1"/>
  <c r="C142" i="3"/>
  <c r="F142" i="3" s="1"/>
  <c r="C156" i="3"/>
  <c r="F156" i="3" s="1"/>
  <c r="C171" i="3"/>
  <c r="F171" i="3" s="1"/>
  <c r="C185" i="3"/>
  <c r="F185" i="3" s="1"/>
  <c r="C208" i="3"/>
  <c r="F208" i="3" s="1"/>
  <c r="C219" i="3"/>
  <c r="F219" i="3" s="1"/>
  <c r="C231" i="3"/>
  <c r="F231" i="3" s="1"/>
  <c r="C250" i="3"/>
  <c r="F250" i="3" s="1"/>
  <c r="C261" i="3"/>
  <c r="F261" i="3" s="1"/>
  <c r="C312" i="3"/>
  <c r="F312" i="3" s="1"/>
  <c r="C332" i="3"/>
  <c r="F332" i="3" s="1"/>
  <c r="C620" i="3"/>
  <c r="F620" i="3" s="1"/>
  <c r="C631" i="3"/>
  <c r="F631" i="3" s="1"/>
  <c r="C642" i="3"/>
  <c r="F642" i="3" s="1"/>
  <c r="C163" i="3"/>
  <c r="F163" i="3" s="1"/>
  <c r="C223" i="3"/>
  <c r="F223" i="3" s="1"/>
  <c r="C255" i="3"/>
  <c r="F255" i="3" s="1"/>
  <c r="C165" i="3"/>
  <c r="F165" i="3" s="1"/>
  <c r="C141" i="3"/>
  <c r="F141" i="3" s="1"/>
  <c r="C217" i="3"/>
  <c r="F217" i="3" s="1"/>
  <c r="C127" i="3"/>
  <c r="F127" i="3" s="1"/>
  <c r="C143" i="3"/>
  <c r="F143" i="3" s="1"/>
  <c r="C157" i="3"/>
  <c r="F157" i="3" s="1"/>
  <c r="C172" i="3"/>
  <c r="F172" i="3" s="1"/>
  <c r="C187" i="3"/>
  <c r="F187" i="3" s="1"/>
  <c r="C209" i="3"/>
  <c r="F209" i="3" s="1"/>
  <c r="C220" i="3"/>
  <c r="F220" i="3" s="1"/>
  <c r="C241" i="3"/>
  <c r="F241" i="3" s="1"/>
  <c r="C251" i="3"/>
  <c r="F251" i="3" s="1"/>
  <c r="C262" i="3"/>
  <c r="F262" i="3" s="1"/>
  <c r="C313" i="3"/>
  <c r="F313" i="3" s="1"/>
  <c r="C333" i="3"/>
  <c r="F333" i="3" s="1"/>
  <c r="C371" i="3"/>
  <c r="F371" i="3" s="1"/>
  <c r="C600" i="3"/>
  <c r="F600" i="3" s="1"/>
  <c r="C609" i="3"/>
  <c r="F609" i="3" s="1"/>
  <c r="C621" i="3"/>
  <c r="F621" i="3" s="1"/>
  <c r="C632" i="3"/>
  <c r="F632" i="3" s="1"/>
  <c r="C643" i="3"/>
  <c r="F643" i="3" s="1"/>
  <c r="B197" i="3"/>
  <c r="C214" i="3"/>
  <c r="F214" i="3" s="1"/>
  <c r="C226" i="3"/>
  <c r="F226" i="3" s="1"/>
  <c r="C238" i="3"/>
  <c r="F238" i="3" s="1"/>
  <c r="C257" i="3"/>
  <c r="F257" i="3" s="1"/>
  <c r="C166" i="3"/>
  <c r="F166" i="3" s="1"/>
  <c r="C258" i="3"/>
  <c r="F258" i="3" s="1"/>
  <c r="C126" i="3"/>
  <c r="F126" i="3" s="1"/>
  <c r="C184" i="3"/>
  <c r="F184" i="3" s="1"/>
  <c r="C129" i="3"/>
  <c r="F129" i="3" s="1"/>
  <c r="C144" i="3"/>
  <c r="F144" i="3" s="1"/>
  <c r="C159" i="3"/>
  <c r="F159" i="3" s="1"/>
  <c r="C189" i="3"/>
  <c r="F189" i="3" s="1"/>
  <c r="C232" i="3"/>
  <c r="F232" i="3" s="1"/>
  <c r="C243" i="3"/>
  <c r="F243" i="3" s="1"/>
  <c r="C252" i="3"/>
  <c r="F252" i="3" s="1"/>
  <c r="C263" i="3"/>
  <c r="F263" i="3" s="1"/>
  <c r="C314" i="3"/>
  <c r="F314" i="3" s="1"/>
  <c r="C335" i="3"/>
  <c r="F335" i="3" s="1"/>
  <c r="C376" i="3"/>
  <c r="F376" i="3" s="1"/>
  <c r="C611" i="3"/>
  <c r="F611" i="3" s="1"/>
  <c r="C623" i="3"/>
  <c r="F623" i="3" s="1"/>
  <c r="C633" i="3"/>
  <c r="F633" i="3" s="1"/>
  <c r="C211" i="3"/>
  <c r="F211" i="3" s="1"/>
  <c r="C213" i="3"/>
  <c r="F213" i="3" s="1"/>
  <c r="C237" i="3"/>
  <c r="F237" i="3" s="1"/>
  <c r="C267" i="3"/>
  <c r="C381" i="3"/>
  <c r="C150" i="3"/>
  <c r="F150" i="3" s="1"/>
  <c r="C179" i="3"/>
  <c r="F179" i="3" s="1"/>
  <c r="C225" i="3"/>
  <c r="F225" i="3" s="1"/>
  <c r="C246" i="3"/>
  <c r="F246" i="3" s="1"/>
  <c r="C151" i="3"/>
  <c r="F151" i="3" s="1"/>
  <c r="C216" i="3"/>
  <c r="F216" i="3" s="1"/>
  <c r="C155" i="3"/>
  <c r="F155" i="3" s="1"/>
  <c r="C229" i="3"/>
  <c r="F229" i="3" s="1"/>
  <c r="C240" i="3"/>
  <c r="F240" i="3" s="1"/>
  <c r="C118" i="3"/>
  <c r="F118" i="3" s="1"/>
  <c r="C145" i="3"/>
  <c r="F145" i="3" s="1"/>
  <c r="C160" i="3"/>
  <c r="F160" i="3" s="1"/>
  <c r="C173" i="3"/>
  <c r="F173" i="3" s="1"/>
  <c r="C191" i="3"/>
  <c r="F191" i="3" s="1"/>
  <c r="C210" i="3"/>
  <c r="F210" i="3" s="1"/>
  <c r="C221" i="3"/>
  <c r="F221" i="3" s="1"/>
  <c r="C233" i="3"/>
  <c r="F233" i="3" s="1"/>
  <c r="C244" i="3"/>
  <c r="F244" i="3" s="1"/>
  <c r="C315" i="3"/>
  <c r="F315" i="3" s="1"/>
  <c r="C601" i="3"/>
  <c r="F601" i="3" s="1"/>
  <c r="C612" i="3"/>
  <c r="F612" i="3" s="1"/>
  <c r="C635" i="3"/>
  <c r="F635" i="3" s="1"/>
  <c r="B114" i="3"/>
  <c r="C48" i="3" s="1"/>
  <c r="F48" i="3" s="1"/>
  <c r="C7" i="3"/>
  <c r="F7" i="3" s="1"/>
  <c r="C6" i="3"/>
  <c r="F6" i="3" s="1"/>
  <c r="C4" i="3"/>
  <c r="F4" i="3" s="1"/>
  <c r="C10" i="3"/>
  <c r="C3" i="3"/>
  <c r="F3" i="3" s="1"/>
  <c r="C5" i="3"/>
  <c r="F5" i="3" s="1"/>
  <c r="C488" i="3"/>
  <c r="F488" i="3" s="1"/>
  <c r="C482" i="3"/>
  <c r="F482" i="3" s="1"/>
  <c r="C476" i="3"/>
  <c r="F476" i="3" s="1"/>
  <c r="C470" i="3"/>
  <c r="F470" i="3" s="1"/>
  <c r="C464" i="3"/>
  <c r="F464" i="3" s="1"/>
  <c r="C458" i="3"/>
  <c r="F458" i="3" s="1"/>
  <c r="C452" i="3"/>
  <c r="F452" i="3" s="1"/>
  <c r="C446" i="3"/>
  <c r="F446" i="3" s="1"/>
  <c r="C440" i="3"/>
  <c r="F440" i="3" s="1"/>
  <c r="C434" i="3"/>
  <c r="F434" i="3" s="1"/>
  <c r="C428" i="3"/>
  <c r="F428" i="3" s="1"/>
  <c r="C493" i="3"/>
  <c r="C422" i="3"/>
  <c r="F422" i="3" s="1"/>
  <c r="C416" i="3"/>
  <c r="F416" i="3" s="1"/>
  <c r="C410" i="3"/>
  <c r="F410" i="3" s="1"/>
  <c r="C404" i="3"/>
  <c r="F404" i="3" s="1"/>
  <c r="C398" i="3"/>
  <c r="F398" i="3" s="1"/>
  <c r="C392" i="3"/>
  <c r="F392" i="3" s="1"/>
  <c r="C386" i="3"/>
  <c r="F386" i="3" s="1"/>
  <c r="C435" i="3"/>
  <c r="F435" i="3" s="1"/>
  <c r="C427" i="3"/>
  <c r="F427" i="3" s="1"/>
  <c r="C490" i="3"/>
  <c r="F490" i="3" s="1"/>
  <c r="C483" i="3"/>
  <c r="F483" i="3" s="1"/>
  <c r="C475" i="3"/>
  <c r="F475" i="3" s="1"/>
  <c r="C468" i="3"/>
  <c r="F468" i="3" s="1"/>
  <c r="C461" i="3"/>
  <c r="F461" i="3" s="1"/>
  <c r="C454" i="3"/>
  <c r="F454" i="3" s="1"/>
  <c r="C447" i="3"/>
  <c r="F447" i="3" s="1"/>
  <c r="C419" i="3"/>
  <c r="F419" i="3" s="1"/>
  <c r="C412" i="3"/>
  <c r="F412" i="3" s="1"/>
  <c r="C405" i="3"/>
  <c r="F405" i="3" s="1"/>
  <c r="C397" i="3"/>
  <c r="F397" i="3" s="1"/>
  <c r="C390" i="3"/>
  <c r="F390" i="3" s="1"/>
  <c r="C481" i="3"/>
  <c r="F481" i="3" s="1"/>
  <c r="C473" i="3"/>
  <c r="F473" i="3" s="1"/>
  <c r="C465" i="3"/>
  <c r="F465" i="3" s="1"/>
  <c r="C456" i="3"/>
  <c r="F456" i="3" s="1"/>
  <c r="C431" i="3"/>
  <c r="F431" i="3" s="1"/>
  <c r="C406" i="3"/>
  <c r="F406" i="3" s="1"/>
  <c r="C455" i="3"/>
  <c r="F455" i="3" s="1"/>
  <c r="C414" i="3"/>
  <c r="F414" i="3" s="1"/>
  <c r="C396" i="3"/>
  <c r="F396" i="3" s="1"/>
  <c r="C388" i="3"/>
  <c r="F388" i="3" s="1"/>
  <c r="C491" i="3"/>
  <c r="F491" i="3" s="1"/>
  <c r="C469" i="3"/>
  <c r="F469" i="3" s="1"/>
  <c r="C430" i="3"/>
  <c r="F430" i="3" s="1"/>
  <c r="C421" i="3"/>
  <c r="F421" i="3" s="1"/>
  <c r="C411" i="3"/>
  <c r="F411" i="3" s="1"/>
  <c r="C401" i="3"/>
  <c r="F401" i="3" s="1"/>
  <c r="C487" i="3"/>
  <c r="F487" i="3" s="1"/>
  <c r="C478" i="3"/>
  <c r="F478" i="3" s="1"/>
  <c r="C467" i="3"/>
  <c r="F467" i="3" s="1"/>
  <c r="C457" i="3"/>
  <c r="F457" i="3" s="1"/>
  <c r="C445" i="3"/>
  <c r="F445" i="3" s="1"/>
  <c r="C399" i="3"/>
  <c r="F399" i="3" s="1"/>
  <c r="C449" i="3"/>
  <c r="F449" i="3" s="1"/>
  <c r="C438" i="3"/>
  <c r="F438" i="3" s="1"/>
  <c r="C426" i="3"/>
  <c r="F426" i="3" s="1"/>
  <c r="C391" i="3"/>
  <c r="F391" i="3" s="1"/>
  <c r="C413" i="3"/>
  <c r="F413" i="3" s="1"/>
  <c r="C389" i="3"/>
  <c r="F389" i="3" s="1"/>
  <c r="C471" i="3"/>
  <c r="F471" i="3" s="1"/>
  <c r="C444" i="3"/>
  <c r="F444" i="3" s="1"/>
  <c r="C436" i="3"/>
  <c r="F436" i="3" s="1"/>
  <c r="C485" i="3"/>
  <c r="F485" i="3" s="1"/>
  <c r="C472" i="3"/>
  <c r="F472" i="3" s="1"/>
  <c r="C460" i="3"/>
  <c r="F460" i="3" s="1"/>
  <c r="C448" i="3"/>
  <c r="F448" i="3" s="1"/>
  <c r="C437" i="3"/>
  <c r="F437" i="3" s="1"/>
  <c r="C425" i="3"/>
  <c r="F425" i="3" s="1"/>
  <c r="C415" i="3"/>
  <c r="F415" i="3" s="1"/>
  <c r="C402" i="3"/>
  <c r="F402" i="3" s="1"/>
  <c r="C484" i="3"/>
  <c r="F484" i="3" s="1"/>
  <c r="C459" i="3"/>
  <c r="F459" i="3" s="1"/>
  <c r="C393" i="3"/>
  <c r="F393" i="3" s="1"/>
  <c r="C451" i="3"/>
  <c r="F451" i="3" s="1"/>
  <c r="C492" i="3"/>
  <c r="F492" i="3" s="1"/>
  <c r="C474" i="3"/>
  <c r="F474" i="3" s="1"/>
  <c r="C453" i="3"/>
  <c r="F453" i="3" s="1"/>
  <c r="C407" i="3"/>
  <c r="F407" i="3" s="1"/>
  <c r="C387" i="3"/>
  <c r="F387" i="3" s="1"/>
  <c r="C489" i="3"/>
  <c r="F489" i="3" s="1"/>
  <c r="C420" i="3"/>
  <c r="F420" i="3" s="1"/>
  <c r="C403" i="3"/>
  <c r="F403" i="3" s="1"/>
  <c r="C385" i="3"/>
  <c r="F385" i="3" s="1"/>
  <c r="C486" i="3"/>
  <c r="F486" i="3" s="1"/>
  <c r="C466" i="3"/>
  <c r="F466" i="3" s="1"/>
  <c r="C450" i="3"/>
  <c r="F450" i="3" s="1"/>
  <c r="C432" i="3"/>
  <c r="F432" i="3" s="1"/>
  <c r="C400" i="3"/>
  <c r="F400" i="3" s="1"/>
  <c r="C417" i="3"/>
  <c r="F417" i="3" s="1"/>
  <c r="C362" i="3"/>
  <c r="F362" i="3" s="1"/>
  <c r="C378" i="3"/>
  <c r="F378" i="3" s="1"/>
  <c r="C372" i="3"/>
  <c r="F372" i="3" s="1"/>
  <c r="C375" i="3"/>
  <c r="F375" i="3" s="1"/>
  <c r="C377" i="3"/>
  <c r="F377" i="3" s="1"/>
  <c r="C369" i="3"/>
  <c r="F369" i="3" s="1"/>
  <c r="C373" i="3"/>
  <c r="F373" i="3" s="1"/>
  <c r="C374" i="3"/>
  <c r="F374" i="3" s="1"/>
  <c r="C350" i="3"/>
  <c r="F350" i="3" s="1"/>
  <c r="C32" i="3"/>
  <c r="F32" i="3" s="1"/>
  <c r="C370" i="3"/>
  <c r="F370" i="3" s="1"/>
  <c r="C363" i="3"/>
  <c r="F363" i="3" s="1"/>
  <c r="C357" i="3"/>
  <c r="F357" i="3" s="1"/>
  <c r="C351" i="3"/>
  <c r="F351" i="3" s="1"/>
  <c r="C365" i="3"/>
  <c r="C364" i="3"/>
  <c r="F364" i="3" s="1"/>
  <c r="C356" i="3"/>
  <c r="F356" i="3" s="1"/>
  <c r="C349" i="3"/>
  <c r="F349" i="3" s="1"/>
  <c r="C358" i="3"/>
  <c r="F358" i="3" s="1"/>
  <c r="C354" i="3"/>
  <c r="F354" i="3" s="1"/>
  <c r="C360" i="3"/>
  <c r="F360" i="3" s="1"/>
  <c r="C36" i="3"/>
  <c r="F36" i="3" s="1"/>
  <c r="C30" i="3"/>
  <c r="F30" i="3" s="1"/>
  <c r="C35" i="3"/>
  <c r="F35" i="3" s="1"/>
  <c r="C29" i="3"/>
  <c r="F29" i="3" s="1"/>
  <c r="C25" i="3"/>
  <c r="F25" i="3" s="1"/>
  <c r="C353" i="3"/>
  <c r="F353" i="3" s="1"/>
  <c r="C423" i="3"/>
  <c r="F423" i="3" s="1"/>
  <c r="C154" i="3"/>
  <c r="F154" i="3" s="1"/>
  <c r="C169" i="3"/>
  <c r="F169" i="3" s="1"/>
  <c r="C188" i="3"/>
  <c r="F188" i="3" s="1"/>
  <c r="C182" i="3"/>
  <c r="F182" i="3" s="1"/>
  <c r="C176" i="3"/>
  <c r="F176" i="3" s="1"/>
  <c r="C170" i="3"/>
  <c r="F170" i="3" s="1"/>
  <c r="C164" i="3"/>
  <c r="F164" i="3" s="1"/>
  <c r="C158" i="3"/>
  <c r="F158" i="3" s="1"/>
  <c r="C152" i="3"/>
  <c r="F152" i="3" s="1"/>
  <c r="C146" i="3"/>
  <c r="F146" i="3" s="1"/>
  <c r="C140" i="3"/>
  <c r="F140" i="3" s="1"/>
  <c r="C190" i="3"/>
  <c r="F190" i="3" s="1"/>
  <c r="C183" i="3"/>
  <c r="F183" i="3" s="1"/>
  <c r="C134" i="3"/>
  <c r="F134" i="3" s="1"/>
  <c r="C128" i="3"/>
  <c r="F128" i="3" s="1"/>
  <c r="C122" i="3"/>
  <c r="F122" i="3" s="1"/>
  <c r="C116" i="3"/>
  <c r="F116" i="3" s="1"/>
  <c r="C137" i="3"/>
  <c r="F137" i="3" s="1"/>
  <c r="C130" i="3"/>
  <c r="F130" i="3" s="1"/>
  <c r="C117" i="3"/>
  <c r="F117" i="3" s="1"/>
  <c r="C147" i="3"/>
  <c r="F147" i="3" s="1"/>
  <c r="C162" i="3"/>
  <c r="F162" i="3" s="1"/>
  <c r="C178" i="3"/>
  <c r="F178" i="3" s="1"/>
  <c r="C186" i="3"/>
  <c r="F186" i="3" s="1"/>
  <c r="C343" i="3"/>
  <c r="F343" i="3" s="1"/>
  <c r="C337" i="3"/>
  <c r="F337" i="3" s="1"/>
  <c r="C331" i="3"/>
  <c r="F331" i="3" s="1"/>
  <c r="C325" i="3"/>
  <c r="F325" i="3" s="1"/>
  <c r="C341" i="3"/>
  <c r="F341" i="3" s="1"/>
  <c r="C334" i="3"/>
  <c r="F334" i="3" s="1"/>
  <c r="C327" i="3"/>
  <c r="F327" i="3" s="1"/>
  <c r="C320" i="3"/>
  <c r="F320" i="3" s="1"/>
  <c r="C338" i="3"/>
  <c r="F338" i="3" s="1"/>
  <c r="C329" i="3"/>
  <c r="F329" i="3" s="1"/>
  <c r="C321" i="3"/>
  <c r="F321" i="3" s="1"/>
  <c r="C345" i="3"/>
  <c r="C339" i="3"/>
  <c r="F339" i="3" s="1"/>
  <c r="C328" i="3"/>
  <c r="F328" i="3" s="1"/>
  <c r="B594" i="3"/>
  <c r="C550" i="3" s="1"/>
  <c r="F550" i="3" s="1"/>
  <c r="C646" i="3"/>
  <c r="F646" i="3" s="1"/>
  <c r="C640" i="3"/>
  <c r="F640" i="3" s="1"/>
  <c r="C634" i="3"/>
  <c r="F634" i="3" s="1"/>
  <c r="C628" i="3"/>
  <c r="F628" i="3" s="1"/>
  <c r="C622" i="3"/>
  <c r="F622" i="3" s="1"/>
  <c r="C616" i="3"/>
  <c r="F616" i="3" s="1"/>
  <c r="C610" i="3"/>
  <c r="F610" i="3" s="1"/>
  <c r="C604" i="3"/>
  <c r="F604" i="3" s="1"/>
  <c r="C598" i="3"/>
  <c r="F598" i="3" s="1"/>
  <c r="C266" i="3"/>
  <c r="F266" i="3" s="1"/>
  <c r="C260" i="3"/>
  <c r="F260" i="3" s="1"/>
  <c r="C254" i="3"/>
  <c r="F254" i="3" s="1"/>
  <c r="C248" i="3"/>
  <c r="F248" i="3" s="1"/>
  <c r="C242" i="3"/>
  <c r="F242" i="3" s="1"/>
  <c r="C236" i="3"/>
  <c r="F236" i="3" s="1"/>
  <c r="C230" i="3"/>
  <c r="F230" i="3" s="1"/>
  <c r="C224" i="3"/>
  <c r="F224" i="3" s="1"/>
  <c r="C218" i="3"/>
  <c r="F218" i="3" s="1"/>
  <c r="C212" i="3"/>
  <c r="F212" i="3" s="1"/>
  <c r="C206" i="3"/>
  <c r="F206" i="3" s="1"/>
  <c r="C59" i="6" l="1"/>
  <c r="C109" i="6"/>
  <c r="C7" i="6"/>
  <c r="C76" i="6"/>
  <c r="C127" i="6"/>
  <c r="C150" i="6"/>
  <c r="C113" i="6"/>
  <c r="C70" i="6"/>
  <c r="C72" i="6"/>
  <c r="C143" i="6"/>
  <c r="C133" i="6"/>
  <c r="C57" i="6"/>
  <c r="N26" i="6"/>
  <c r="C55" i="6"/>
  <c r="C112" i="6"/>
  <c r="C151" i="6"/>
  <c r="C75" i="6"/>
  <c r="C140" i="6"/>
  <c r="C136" i="6"/>
  <c r="C152" i="6"/>
  <c r="E39" i="6"/>
  <c r="C156" i="6"/>
  <c r="C153" i="6"/>
  <c r="C115" i="6"/>
  <c r="C146" i="6"/>
  <c r="C63" i="6"/>
  <c r="C116" i="6"/>
  <c r="C102" i="6"/>
  <c r="C64" i="6"/>
  <c r="C62" i="6"/>
  <c r="C142" i="6"/>
  <c r="E52" i="6"/>
  <c r="C149" i="6"/>
  <c r="C77" i="6"/>
  <c r="N78" i="6" s="1"/>
  <c r="C61" i="6"/>
  <c r="C141" i="6"/>
  <c r="C60" i="6"/>
  <c r="C65" i="6"/>
  <c r="C137" i="6"/>
  <c r="C114" i="6"/>
  <c r="C78" i="6"/>
  <c r="N52" i="6"/>
  <c r="C134" i="6"/>
  <c r="C155" i="6"/>
  <c r="C129" i="6"/>
  <c r="C147" i="6"/>
  <c r="C138" i="6"/>
  <c r="C148" i="6"/>
  <c r="C135" i="6"/>
  <c r="C121" i="6"/>
  <c r="C122" i="6"/>
  <c r="C125" i="6"/>
  <c r="C87" i="6"/>
  <c r="C128" i="6"/>
  <c r="C110" i="6"/>
  <c r="C85" i="6"/>
  <c r="C8" i="6"/>
  <c r="C126" i="6"/>
  <c r="C84" i="6"/>
  <c r="C120" i="6"/>
  <c r="C108" i="6"/>
  <c r="C91" i="6"/>
  <c r="C11" i="6"/>
  <c r="C123" i="6"/>
  <c r="C88" i="6"/>
  <c r="N39" i="6"/>
  <c r="C130" i="6"/>
  <c r="C81" i="6"/>
  <c r="C107" i="6"/>
  <c r="C90" i="6"/>
  <c r="C9" i="6"/>
  <c r="C117" i="6"/>
  <c r="C3" i="6"/>
  <c r="C82" i="6"/>
  <c r="C10" i="6"/>
  <c r="C12" i="6"/>
  <c r="C5" i="6"/>
  <c r="C13" i="6"/>
  <c r="C6" i="6"/>
  <c r="C89" i="6"/>
  <c r="C86" i="6"/>
  <c r="C294" i="5"/>
  <c r="F294" i="5" s="1"/>
  <c r="C271" i="5"/>
  <c r="F271" i="5" s="1"/>
  <c r="C300" i="5"/>
  <c r="F300" i="5" s="1"/>
  <c r="F10" i="5"/>
  <c r="C296" i="5"/>
  <c r="F296" i="5" s="1"/>
  <c r="C299" i="5"/>
  <c r="F299" i="5" s="1"/>
  <c r="C292" i="5"/>
  <c r="F292" i="5" s="1"/>
  <c r="C277" i="5"/>
  <c r="F277" i="5" s="1"/>
  <c r="C283" i="5"/>
  <c r="F283" i="5" s="1"/>
  <c r="C298" i="5"/>
  <c r="F298" i="5" s="1"/>
  <c r="F315" i="5"/>
  <c r="F266" i="5"/>
  <c r="E268" i="5" s="1"/>
  <c r="F268" i="5" s="1"/>
  <c r="C275" i="5"/>
  <c r="F275" i="5" s="1"/>
  <c r="C284" i="5"/>
  <c r="F284" i="5" s="1"/>
  <c r="F21" i="5"/>
  <c r="C293" i="5"/>
  <c r="F293" i="5" s="1"/>
  <c r="C289" i="5"/>
  <c r="F289" i="5" s="1"/>
  <c r="C302" i="5"/>
  <c r="F302" i="5" s="1"/>
  <c r="C295" i="5"/>
  <c r="F295" i="5" s="1"/>
  <c r="C285" i="5"/>
  <c r="F285" i="5" s="1"/>
  <c r="C268" i="5"/>
  <c r="C286" i="5"/>
  <c r="F286" i="5" s="1"/>
  <c r="C301" i="5"/>
  <c r="F301" i="5" s="1"/>
  <c r="C304" i="5"/>
  <c r="F304" i="5" s="1"/>
  <c r="C303" i="5"/>
  <c r="F303" i="5" s="1"/>
  <c r="C305" i="5"/>
  <c r="C270" i="5"/>
  <c r="F270" i="5" s="1"/>
  <c r="C274" i="5"/>
  <c r="F274" i="5" s="1"/>
  <c r="C287" i="5"/>
  <c r="F287" i="5" s="1"/>
  <c r="C276" i="5"/>
  <c r="F276" i="5" s="1"/>
  <c r="C273" i="5"/>
  <c r="F273" i="5" s="1"/>
  <c r="C279" i="5"/>
  <c r="F279" i="5" s="1"/>
  <c r="C282" i="5"/>
  <c r="F282" i="5" s="1"/>
  <c r="C297" i="5"/>
  <c r="F297" i="5" s="1"/>
  <c r="C281" i="5"/>
  <c r="F281" i="5" s="1"/>
  <c r="C290" i="5"/>
  <c r="F290" i="5" s="1"/>
  <c r="C280" i="5"/>
  <c r="F280" i="5" s="1"/>
  <c r="C288" i="5"/>
  <c r="F288" i="5" s="1"/>
  <c r="C291" i="5"/>
  <c r="F291" i="5" s="1"/>
  <c r="F113" i="5"/>
  <c r="E194" i="5" s="1"/>
  <c r="F192" i="5"/>
  <c r="E196" i="5" s="1"/>
  <c r="F649" i="5"/>
  <c r="F137" i="5"/>
  <c r="E195" i="5" s="1"/>
  <c r="F380" i="5"/>
  <c r="F344" i="5"/>
  <c r="F593" i="5"/>
  <c r="F39" i="5"/>
  <c r="C168" i="6"/>
  <c r="E26" i="6"/>
  <c r="C100" i="6"/>
  <c r="C97" i="6"/>
  <c r="C166" i="6"/>
  <c r="C94" i="6"/>
  <c r="C161" i="6"/>
  <c r="C101" i="6"/>
  <c r="C95" i="6"/>
  <c r="C98" i="6"/>
  <c r="C103" i="6"/>
  <c r="C96" i="6"/>
  <c r="C104" i="6"/>
  <c r="C165" i="6"/>
  <c r="C159" i="6"/>
  <c r="C169" i="6"/>
  <c r="C162" i="6"/>
  <c r="C164" i="6"/>
  <c r="C167" i="6"/>
  <c r="C160" i="6"/>
  <c r="B197" i="5"/>
  <c r="C196" i="5" s="1"/>
  <c r="F364" i="5"/>
  <c r="F492" i="5"/>
  <c r="C47" i="3"/>
  <c r="F47" i="3" s="1"/>
  <c r="F21" i="3"/>
  <c r="F316" i="3"/>
  <c r="F39" i="3"/>
  <c r="F267" i="3"/>
  <c r="E269" i="3" s="1"/>
  <c r="F345" i="3"/>
  <c r="F10" i="3"/>
  <c r="F650" i="3"/>
  <c r="C593" i="3"/>
  <c r="F593" i="3" s="1"/>
  <c r="C587" i="3"/>
  <c r="F587" i="3" s="1"/>
  <c r="C581" i="3"/>
  <c r="F581" i="3" s="1"/>
  <c r="C575" i="3"/>
  <c r="F575" i="3" s="1"/>
  <c r="C569" i="3"/>
  <c r="F569" i="3" s="1"/>
  <c r="C563" i="3"/>
  <c r="F563" i="3" s="1"/>
  <c r="C557" i="3"/>
  <c r="F557" i="3" s="1"/>
  <c r="C551" i="3"/>
  <c r="F551" i="3" s="1"/>
  <c r="C545" i="3"/>
  <c r="F545" i="3" s="1"/>
  <c r="C539" i="3"/>
  <c r="F539" i="3" s="1"/>
  <c r="C533" i="3"/>
  <c r="F533" i="3" s="1"/>
  <c r="C527" i="3"/>
  <c r="F527" i="3" s="1"/>
  <c r="C520" i="3"/>
  <c r="F520" i="3" s="1"/>
  <c r="C514" i="3"/>
  <c r="F514" i="3" s="1"/>
  <c r="C508" i="3"/>
  <c r="F508" i="3" s="1"/>
  <c r="C502" i="3"/>
  <c r="F502" i="3" s="1"/>
  <c r="C546" i="3"/>
  <c r="F546" i="3" s="1"/>
  <c r="C538" i="3"/>
  <c r="F538" i="3" s="1"/>
  <c r="C531" i="3"/>
  <c r="F531" i="3" s="1"/>
  <c r="C523" i="3"/>
  <c r="F523" i="3" s="1"/>
  <c r="C516" i="3"/>
  <c r="F516" i="3" s="1"/>
  <c r="C509" i="3"/>
  <c r="F509" i="3" s="1"/>
  <c r="C501" i="3"/>
  <c r="F501" i="3" s="1"/>
  <c r="C586" i="3"/>
  <c r="F586" i="3" s="1"/>
  <c r="C579" i="3"/>
  <c r="F579" i="3" s="1"/>
  <c r="C572" i="3"/>
  <c r="F572" i="3" s="1"/>
  <c r="C565" i="3"/>
  <c r="F565" i="3" s="1"/>
  <c r="C558" i="3"/>
  <c r="F558" i="3" s="1"/>
  <c r="C592" i="3"/>
  <c r="F592" i="3" s="1"/>
  <c r="C585" i="3"/>
  <c r="F585" i="3" s="1"/>
  <c r="C578" i="3"/>
  <c r="F578" i="3" s="1"/>
  <c r="C571" i="3"/>
  <c r="F571" i="3" s="1"/>
  <c r="C564" i="3"/>
  <c r="F564" i="3" s="1"/>
  <c r="C556" i="3"/>
  <c r="F556" i="3" s="1"/>
  <c r="C583" i="3"/>
  <c r="F583" i="3" s="1"/>
  <c r="C573" i="3"/>
  <c r="F573" i="3" s="1"/>
  <c r="C554" i="3"/>
  <c r="F554" i="3" s="1"/>
  <c r="C537" i="3"/>
  <c r="F537" i="3" s="1"/>
  <c r="C591" i="3"/>
  <c r="F591" i="3" s="1"/>
  <c r="C562" i="3"/>
  <c r="F562" i="3" s="1"/>
  <c r="C536" i="3"/>
  <c r="F536" i="3" s="1"/>
  <c r="C528" i="3"/>
  <c r="F528" i="3" s="1"/>
  <c r="C518" i="3"/>
  <c r="F518" i="3" s="1"/>
  <c r="C510" i="3"/>
  <c r="F510" i="3" s="1"/>
  <c r="C590" i="3"/>
  <c r="F590" i="3" s="1"/>
  <c r="C547" i="3"/>
  <c r="F547" i="3" s="1"/>
  <c r="C535" i="3"/>
  <c r="F535" i="3" s="1"/>
  <c r="C525" i="3"/>
  <c r="F525" i="3" s="1"/>
  <c r="C513" i="3"/>
  <c r="F513" i="3" s="1"/>
  <c r="C504" i="3"/>
  <c r="F504" i="3" s="1"/>
  <c r="C588" i="3"/>
  <c r="F588" i="3" s="1"/>
  <c r="C553" i="3"/>
  <c r="F553" i="3" s="1"/>
  <c r="C522" i="3"/>
  <c r="F522" i="3" s="1"/>
  <c r="C500" i="3"/>
  <c r="F500" i="3" s="1"/>
  <c r="C540" i="3"/>
  <c r="F540" i="3" s="1"/>
  <c r="C526" i="3"/>
  <c r="F526" i="3" s="1"/>
  <c r="C499" i="3"/>
  <c r="F499" i="3" s="1"/>
  <c r="C589" i="3"/>
  <c r="F589" i="3" s="1"/>
  <c r="C577" i="3"/>
  <c r="F577" i="3" s="1"/>
  <c r="C512" i="3"/>
  <c r="F512" i="3" s="1"/>
  <c r="C576" i="3"/>
  <c r="F576" i="3" s="1"/>
  <c r="C561" i="3"/>
  <c r="F561" i="3" s="1"/>
  <c r="C549" i="3"/>
  <c r="F549" i="3" s="1"/>
  <c r="C511" i="3"/>
  <c r="F511" i="3" s="1"/>
  <c r="C498" i="3"/>
  <c r="F498" i="3" s="1"/>
  <c r="C594" i="3"/>
  <c r="C570" i="3"/>
  <c r="F570" i="3" s="1"/>
  <c r="C532" i="3"/>
  <c r="F532" i="3" s="1"/>
  <c r="C567" i="3"/>
  <c r="F567" i="3" s="1"/>
  <c r="C530" i="3"/>
  <c r="F530" i="3" s="1"/>
  <c r="C515" i="3"/>
  <c r="F515" i="3" s="1"/>
  <c r="C568" i="3"/>
  <c r="F568" i="3" s="1"/>
  <c r="C548" i="3"/>
  <c r="F548" i="3" s="1"/>
  <c r="C507" i="3"/>
  <c r="F507" i="3" s="1"/>
  <c r="C560" i="3"/>
  <c r="F560" i="3" s="1"/>
  <c r="C543" i="3"/>
  <c r="F543" i="3" s="1"/>
  <c r="C582" i="3"/>
  <c r="F582" i="3" s="1"/>
  <c r="C559" i="3"/>
  <c r="F559" i="3" s="1"/>
  <c r="C542" i="3"/>
  <c r="F542" i="3" s="1"/>
  <c r="C521" i="3"/>
  <c r="F521" i="3" s="1"/>
  <c r="C505" i="3"/>
  <c r="F505" i="3" s="1"/>
  <c r="C566" i="3"/>
  <c r="F566" i="3" s="1"/>
  <c r="C534" i="3"/>
  <c r="F534" i="3" s="1"/>
  <c r="C529" i="3"/>
  <c r="F529" i="3" s="1"/>
  <c r="C503" i="3"/>
  <c r="F503" i="3" s="1"/>
  <c r="C584" i="3"/>
  <c r="F584" i="3" s="1"/>
  <c r="C544" i="3"/>
  <c r="F544" i="3" s="1"/>
  <c r="C506" i="3"/>
  <c r="F506" i="3" s="1"/>
  <c r="C574" i="3"/>
  <c r="F574" i="3" s="1"/>
  <c r="C555" i="3"/>
  <c r="F555" i="3" s="1"/>
  <c r="C519" i="3"/>
  <c r="F519" i="3" s="1"/>
  <c r="C552" i="3"/>
  <c r="F552" i="3" s="1"/>
  <c r="C517" i="3"/>
  <c r="F517" i="3" s="1"/>
  <c r="C580" i="3"/>
  <c r="F580" i="3" s="1"/>
  <c r="C541" i="3"/>
  <c r="F541" i="3" s="1"/>
  <c r="C497" i="3"/>
  <c r="F497" i="3" s="1"/>
  <c r="F138" i="3"/>
  <c r="E196" i="3" s="1"/>
  <c r="F365" i="3"/>
  <c r="B195" i="3"/>
  <c r="C110" i="3"/>
  <c r="F110" i="3" s="1"/>
  <c r="C108" i="3"/>
  <c r="F108" i="3" s="1"/>
  <c r="C95" i="3"/>
  <c r="F95" i="3" s="1"/>
  <c r="C82" i="3"/>
  <c r="F82" i="3" s="1"/>
  <c r="C69" i="3"/>
  <c r="F69" i="3" s="1"/>
  <c r="C56" i="3"/>
  <c r="F56" i="3" s="1"/>
  <c r="C107" i="3"/>
  <c r="F107" i="3" s="1"/>
  <c r="C94" i="3"/>
  <c r="F94" i="3" s="1"/>
  <c r="C81" i="3"/>
  <c r="F81" i="3" s="1"/>
  <c r="C68" i="3"/>
  <c r="F68" i="3" s="1"/>
  <c r="C61" i="3"/>
  <c r="F61" i="3" s="1"/>
  <c r="C114" i="3"/>
  <c r="C101" i="3"/>
  <c r="F101" i="3" s="1"/>
  <c r="C88" i="3"/>
  <c r="F88" i="3" s="1"/>
  <c r="C75" i="3"/>
  <c r="F75" i="3" s="1"/>
  <c r="C62" i="3"/>
  <c r="F62" i="3" s="1"/>
  <c r="C55" i="3"/>
  <c r="F55" i="3" s="1"/>
  <c r="C49" i="3"/>
  <c r="F49" i="3" s="1"/>
  <c r="C44" i="3"/>
  <c r="F44" i="3" s="1"/>
  <c r="C93" i="3"/>
  <c r="F93" i="3" s="1"/>
  <c r="C92" i="3"/>
  <c r="F92" i="3" s="1"/>
  <c r="C74" i="3"/>
  <c r="F74" i="3" s="1"/>
  <c r="C83" i="3"/>
  <c r="F83" i="3" s="1"/>
  <c r="C65" i="3"/>
  <c r="F65" i="3" s="1"/>
  <c r="C111" i="3"/>
  <c r="F111" i="3" s="1"/>
  <c r="C102" i="3"/>
  <c r="F102" i="3" s="1"/>
  <c r="C84" i="3"/>
  <c r="F84" i="3" s="1"/>
  <c r="C76" i="3"/>
  <c r="F76" i="3" s="1"/>
  <c r="C66" i="3"/>
  <c r="F66" i="3" s="1"/>
  <c r="C58" i="3"/>
  <c r="F58" i="3" s="1"/>
  <c r="C50" i="3"/>
  <c r="F50" i="3" s="1"/>
  <c r="C100" i="3"/>
  <c r="F100" i="3" s="1"/>
  <c r="C109" i="3"/>
  <c r="F109" i="3" s="1"/>
  <c r="C91" i="3"/>
  <c r="F91" i="3" s="1"/>
  <c r="C73" i="3"/>
  <c r="F73" i="3" s="1"/>
  <c r="C57" i="3"/>
  <c r="F57" i="3" s="1"/>
  <c r="C90" i="3"/>
  <c r="F90" i="3" s="1"/>
  <c r="C72" i="3"/>
  <c r="F72" i="3" s="1"/>
  <c r="C64" i="3"/>
  <c r="F64" i="3" s="1"/>
  <c r="C54" i="3"/>
  <c r="F54" i="3" s="1"/>
  <c r="C104" i="3"/>
  <c r="F104" i="3" s="1"/>
  <c r="C87" i="3"/>
  <c r="F87" i="3" s="1"/>
  <c r="C59" i="3"/>
  <c r="F59" i="3" s="1"/>
  <c r="C46" i="3"/>
  <c r="F46" i="3" s="1"/>
  <c r="C103" i="3"/>
  <c r="F103" i="3" s="1"/>
  <c r="C71" i="3"/>
  <c r="F71" i="3" s="1"/>
  <c r="C45" i="3"/>
  <c r="F45" i="3" s="1"/>
  <c r="C96" i="3"/>
  <c r="F96" i="3" s="1"/>
  <c r="C106" i="3"/>
  <c r="F106" i="3" s="1"/>
  <c r="C77" i="3"/>
  <c r="F77" i="3" s="1"/>
  <c r="C99" i="3"/>
  <c r="F99" i="3" s="1"/>
  <c r="C86" i="3"/>
  <c r="F86" i="3" s="1"/>
  <c r="C112" i="3"/>
  <c r="F112" i="3" s="1"/>
  <c r="C79" i="3"/>
  <c r="F79" i="3" s="1"/>
  <c r="C51" i="3"/>
  <c r="F51" i="3" s="1"/>
  <c r="C78" i="3"/>
  <c r="F78" i="3" s="1"/>
  <c r="C98" i="3"/>
  <c r="F98" i="3" s="1"/>
  <c r="C85" i="3"/>
  <c r="F85" i="3" s="1"/>
  <c r="C70" i="3"/>
  <c r="F70" i="3" s="1"/>
  <c r="C53" i="3"/>
  <c r="F53" i="3" s="1"/>
  <c r="C43" i="3"/>
  <c r="F43" i="3" s="1"/>
  <c r="C113" i="3"/>
  <c r="F113" i="3" s="1"/>
  <c r="C97" i="3"/>
  <c r="F97" i="3" s="1"/>
  <c r="C80" i="3"/>
  <c r="F80" i="3" s="1"/>
  <c r="C67" i="3"/>
  <c r="F67" i="3" s="1"/>
  <c r="C52" i="3"/>
  <c r="F52" i="3" s="1"/>
  <c r="C63" i="3"/>
  <c r="F63" i="3" s="1"/>
  <c r="C105" i="3"/>
  <c r="F105" i="3" s="1"/>
  <c r="C60" i="3"/>
  <c r="F60" i="3" s="1"/>
  <c r="C89" i="3"/>
  <c r="F89" i="3" s="1"/>
  <c r="C302" i="3"/>
  <c r="F302" i="3" s="1"/>
  <c r="C296" i="3"/>
  <c r="F296" i="3" s="1"/>
  <c r="C290" i="3"/>
  <c r="F290" i="3" s="1"/>
  <c r="C284" i="3"/>
  <c r="F284" i="3" s="1"/>
  <c r="C278" i="3"/>
  <c r="F278" i="3" s="1"/>
  <c r="C272" i="3"/>
  <c r="F272" i="3" s="1"/>
  <c r="C300" i="3"/>
  <c r="F300" i="3" s="1"/>
  <c r="C293" i="3"/>
  <c r="F293" i="3" s="1"/>
  <c r="C286" i="3"/>
  <c r="F286" i="3" s="1"/>
  <c r="C279" i="3"/>
  <c r="F279" i="3" s="1"/>
  <c r="C271" i="3"/>
  <c r="F271" i="3" s="1"/>
  <c r="C292" i="3"/>
  <c r="F292" i="3" s="1"/>
  <c r="C283" i="3"/>
  <c r="F283" i="3" s="1"/>
  <c r="C275" i="3"/>
  <c r="F275" i="3" s="1"/>
  <c r="C297" i="3"/>
  <c r="F297" i="3" s="1"/>
  <c r="C276" i="3"/>
  <c r="F276" i="3" s="1"/>
  <c r="C285" i="3"/>
  <c r="F285" i="3" s="1"/>
  <c r="C306" i="3"/>
  <c r="C295" i="3"/>
  <c r="F295" i="3" s="1"/>
  <c r="C282" i="3"/>
  <c r="F282" i="3" s="1"/>
  <c r="C270" i="3"/>
  <c r="F270" i="3" s="1"/>
  <c r="C294" i="3"/>
  <c r="F294" i="3" s="1"/>
  <c r="C291" i="3"/>
  <c r="F291" i="3" s="1"/>
  <c r="C277" i="3"/>
  <c r="F277" i="3" s="1"/>
  <c r="C289" i="3"/>
  <c r="F289" i="3" s="1"/>
  <c r="C273" i="3"/>
  <c r="F273" i="3" s="1"/>
  <c r="C304" i="3"/>
  <c r="F304" i="3" s="1"/>
  <c r="C288" i="3"/>
  <c r="F288" i="3" s="1"/>
  <c r="C281" i="3"/>
  <c r="F281" i="3" s="1"/>
  <c r="C280" i="3"/>
  <c r="F280" i="3" s="1"/>
  <c r="C305" i="3"/>
  <c r="F305" i="3" s="1"/>
  <c r="C274" i="3"/>
  <c r="F274" i="3" s="1"/>
  <c r="C299" i="3"/>
  <c r="F299" i="3" s="1"/>
  <c r="C287" i="3"/>
  <c r="F287" i="3" s="1"/>
  <c r="C298" i="3"/>
  <c r="F298" i="3" s="1"/>
  <c r="C303" i="3"/>
  <c r="F303" i="3" s="1"/>
  <c r="C301" i="3"/>
  <c r="F301" i="3" s="1"/>
  <c r="F193" i="3"/>
  <c r="E197" i="3" s="1"/>
  <c r="F381" i="3"/>
  <c r="F493" i="3"/>
  <c r="C269" i="3"/>
  <c r="N130" i="6" l="1"/>
  <c r="E78" i="6"/>
  <c r="E156" i="6"/>
  <c r="E143" i="6"/>
  <c r="E65" i="6"/>
  <c r="N143" i="6"/>
  <c r="N156" i="6"/>
  <c r="N65" i="6"/>
  <c r="N117" i="6"/>
  <c r="N13" i="6"/>
  <c r="E13" i="6"/>
  <c r="E130" i="6"/>
  <c r="E117" i="6"/>
  <c r="E91" i="6"/>
  <c r="N91" i="6"/>
  <c r="C194" i="5"/>
  <c r="F196" i="5"/>
  <c r="F305" i="5"/>
  <c r="F194" i="5"/>
  <c r="E169" i="6"/>
  <c r="N169" i="6"/>
  <c r="E104" i="6"/>
  <c r="N104" i="6"/>
  <c r="C197" i="5"/>
  <c r="C195" i="5"/>
  <c r="F195" i="5" s="1"/>
  <c r="F269" i="3"/>
  <c r="F306" i="3" s="1"/>
  <c r="B198" i="3"/>
  <c r="C195" i="3" s="1"/>
  <c r="F114" i="3"/>
  <c r="E195" i="3" s="1"/>
  <c r="F594" i="3"/>
  <c r="F197" i="5" l="1"/>
  <c r="F195" i="3"/>
  <c r="C198" i="3"/>
  <c r="C197" i="3"/>
  <c r="F197" i="3" s="1"/>
  <c r="C196" i="3"/>
  <c r="F196" i="3" s="1"/>
  <c r="F198" i="3" l="1"/>
  <c r="B650" i="2" l="1"/>
  <c r="C635" i="2" s="1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C556" i="2"/>
  <c r="G555" i="2"/>
  <c r="G554" i="2"/>
  <c r="G553" i="2"/>
  <c r="G552" i="2"/>
  <c r="G551" i="2"/>
  <c r="G550" i="2"/>
  <c r="B550" i="2"/>
  <c r="B594" i="2" s="1"/>
  <c r="C587" i="2" s="1"/>
  <c r="G549" i="2"/>
  <c r="G548" i="2"/>
  <c r="G547" i="2"/>
  <c r="G546" i="2"/>
  <c r="G545" i="2"/>
  <c r="C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H439" i="2"/>
  <c r="B439" i="2"/>
  <c r="B423" i="2" s="1"/>
  <c r="B493" i="2" s="1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B381" i="2"/>
  <c r="C378" i="2" s="1"/>
  <c r="G380" i="2"/>
  <c r="G379" i="2"/>
  <c r="G378" i="2"/>
  <c r="G377" i="2"/>
  <c r="G376" i="2"/>
  <c r="G375" i="2"/>
  <c r="G374" i="2"/>
  <c r="G373" i="2"/>
  <c r="G372" i="2"/>
  <c r="G371" i="2"/>
  <c r="G370" i="2"/>
  <c r="G369" i="2"/>
  <c r="B365" i="2"/>
  <c r="C358" i="2" s="1"/>
  <c r="G364" i="2"/>
  <c r="G363" i="2"/>
  <c r="G362" i="2"/>
  <c r="G361" i="2"/>
  <c r="G360" i="2"/>
  <c r="G359" i="2"/>
  <c r="G358" i="2"/>
  <c r="G357" i="2"/>
  <c r="G356" i="2"/>
  <c r="G355" i="2"/>
  <c r="G354" i="2"/>
  <c r="G353" i="2"/>
  <c r="C353" i="2"/>
  <c r="G352" i="2"/>
  <c r="G351" i="2"/>
  <c r="G350" i="2"/>
  <c r="C350" i="2"/>
  <c r="G349" i="2"/>
  <c r="B345" i="2"/>
  <c r="C345" i="2" s="1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C321" i="2"/>
  <c r="G320" i="2"/>
  <c r="B316" i="2"/>
  <c r="C316" i="2" s="1"/>
  <c r="G315" i="2"/>
  <c r="G314" i="2"/>
  <c r="G313" i="2"/>
  <c r="G312" i="2"/>
  <c r="G311" i="2"/>
  <c r="C311" i="2"/>
  <c r="G310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B267" i="2"/>
  <c r="C266" i="2" s="1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B193" i="2"/>
  <c r="C193" i="2" s="1"/>
  <c r="G192" i="2"/>
  <c r="C192" i="2"/>
  <c r="G191" i="2"/>
  <c r="G190" i="2"/>
  <c r="C190" i="2"/>
  <c r="H190" i="2" s="1"/>
  <c r="G189" i="2"/>
  <c r="G188" i="2"/>
  <c r="G187" i="2"/>
  <c r="G186" i="2"/>
  <c r="G185" i="2"/>
  <c r="C185" i="2"/>
  <c r="G184" i="2"/>
  <c r="C184" i="2"/>
  <c r="G183" i="2"/>
  <c r="G182" i="2"/>
  <c r="G181" i="2"/>
  <c r="G180" i="2"/>
  <c r="C180" i="2"/>
  <c r="G179" i="2"/>
  <c r="G178" i="2"/>
  <c r="G177" i="2"/>
  <c r="G176" i="2"/>
  <c r="G175" i="2"/>
  <c r="G174" i="2"/>
  <c r="C174" i="2"/>
  <c r="G173" i="2"/>
  <c r="C173" i="2"/>
  <c r="G172" i="2"/>
  <c r="G171" i="2"/>
  <c r="G170" i="2"/>
  <c r="G169" i="2"/>
  <c r="C169" i="2"/>
  <c r="G168" i="2"/>
  <c r="G167" i="2"/>
  <c r="C167" i="2"/>
  <c r="G166" i="2"/>
  <c r="C166" i="2"/>
  <c r="H166" i="2" s="1"/>
  <c r="G165" i="2"/>
  <c r="G164" i="2"/>
  <c r="G163" i="2"/>
  <c r="G162" i="2"/>
  <c r="C162" i="2"/>
  <c r="G161" i="2"/>
  <c r="G160" i="2"/>
  <c r="C160" i="2"/>
  <c r="G159" i="2"/>
  <c r="G158" i="2"/>
  <c r="G157" i="2"/>
  <c r="G156" i="2"/>
  <c r="G155" i="2"/>
  <c r="C155" i="2"/>
  <c r="G154" i="2"/>
  <c r="G153" i="2"/>
  <c r="G152" i="2"/>
  <c r="G151" i="2"/>
  <c r="C151" i="2"/>
  <c r="G150" i="2"/>
  <c r="G149" i="2"/>
  <c r="G148" i="2"/>
  <c r="C148" i="2"/>
  <c r="G147" i="2"/>
  <c r="G146" i="2"/>
  <c r="G145" i="2"/>
  <c r="C145" i="2"/>
  <c r="G144" i="2"/>
  <c r="C144" i="2"/>
  <c r="G143" i="2"/>
  <c r="G142" i="2"/>
  <c r="G141" i="2"/>
  <c r="C141" i="2"/>
  <c r="G140" i="2"/>
  <c r="B138" i="2"/>
  <c r="C117" i="2" s="1"/>
  <c r="G137" i="2"/>
  <c r="G136" i="2"/>
  <c r="G135" i="2"/>
  <c r="C135" i="2"/>
  <c r="G134" i="2"/>
  <c r="C134" i="2"/>
  <c r="G133" i="2"/>
  <c r="G132" i="2"/>
  <c r="G131" i="2"/>
  <c r="G130" i="2"/>
  <c r="G129" i="2"/>
  <c r="G128" i="2"/>
  <c r="G127" i="2"/>
  <c r="G126" i="2"/>
  <c r="G125" i="2"/>
  <c r="C125" i="2"/>
  <c r="G124" i="2"/>
  <c r="G123" i="2"/>
  <c r="G122" i="2"/>
  <c r="G121" i="2"/>
  <c r="G120" i="2"/>
  <c r="G119" i="2"/>
  <c r="G118" i="2"/>
  <c r="G117" i="2"/>
  <c r="G116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B48" i="2"/>
  <c r="G47" i="2"/>
  <c r="B47" i="2"/>
  <c r="G46" i="2"/>
  <c r="G45" i="2"/>
  <c r="G44" i="2"/>
  <c r="G43" i="2"/>
  <c r="B39" i="2"/>
  <c r="C34" i="2" s="1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B21" i="2"/>
  <c r="C16" i="2" s="1"/>
  <c r="G20" i="2"/>
  <c r="G19" i="2"/>
  <c r="G18" i="2"/>
  <c r="G17" i="2"/>
  <c r="G16" i="2"/>
  <c r="G15" i="2"/>
  <c r="G14" i="2"/>
  <c r="B10" i="2"/>
  <c r="C5" i="2" s="1"/>
  <c r="G9" i="2"/>
  <c r="G8" i="2"/>
  <c r="G7" i="2"/>
  <c r="G6" i="2"/>
  <c r="G5" i="2"/>
  <c r="G4" i="2"/>
  <c r="G3" i="2"/>
  <c r="C119" i="2" l="1"/>
  <c r="C143" i="2"/>
  <c r="C150" i="2"/>
  <c r="H150" i="2" s="1"/>
  <c r="C157" i="2"/>
  <c r="C172" i="2"/>
  <c r="H172" i="2" s="1"/>
  <c r="C179" i="2"/>
  <c r="C30" i="2"/>
  <c r="C536" i="2"/>
  <c r="H536" i="2" s="1"/>
  <c r="H117" i="2"/>
  <c r="C118" i="2"/>
  <c r="C127" i="2"/>
  <c r="H127" i="2" s="1"/>
  <c r="C154" i="2"/>
  <c r="C161" i="2"/>
  <c r="C168" i="2"/>
  <c r="C175" i="2"/>
  <c r="H175" i="2" s="1"/>
  <c r="C191" i="2"/>
  <c r="C327" i="2"/>
  <c r="H327" i="2" s="1"/>
  <c r="C149" i="2"/>
  <c r="C156" i="2"/>
  <c r="C163" i="2"/>
  <c r="C178" i="2"/>
  <c r="H178" i="2" s="1"/>
  <c r="H587" i="2"/>
  <c r="C186" i="2"/>
  <c r="H186" i="2" s="1"/>
  <c r="C339" i="2"/>
  <c r="H339" i="2" s="1"/>
  <c r="C603" i="2"/>
  <c r="H603" i="2" s="1"/>
  <c r="C31" i="2"/>
  <c r="C328" i="2"/>
  <c r="H328" i="2" s="1"/>
  <c r="C335" i="2"/>
  <c r="H335" i="2" s="1"/>
  <c r="C213" i="2"/>
  <c r="H213" i="2" s="1"/>
  <c r="C324" i="2"/>
  <c r="H324" i="2" s="1"/>
  <c r="C330" i="2"/>
  <c r="H330" i="2" s="1"/>
  <c r="C336" i="2"/>
  <c r="H336" i="2" s="1"/>
  <c r="C342" i="2"/>
  <c r="H342" i="2" s="1"/>
  <c r="C372" i="2"/>
  <c r="H321" i="2"/>
  <c r="C373" i="2"/>
  <c r="H373" i="2" s="1"/>
  <c r="C322" i="2"/>
  <c r="C340" i="2"/>
  <c r="H340" i="2" s="1"/>
  <c r="C323" i="2"/>
  <c r="H323" i="2" s="1"/>
  <c r="C341" i="2"/>
  <c r="H341" i="2" s="1"/>
  <c r="C35" i="2"/>
  <c r="C187" i="2"/>
  <c r="H187" i="2" s="1"/>
  <c r="C129" i="2"/>
  <c r="H129" i="2" s="1"/>
  <c r="C146" i="2"/>
  <c r="H146" i="2" s="1"/>
  <c r="C152" i="2"/>
  <c r="C164" i="2"/>
  <c r="C176" i="2"/>
  <c r="C182" i="2"/>
  <c r="C325" i="2"/>
  <c r="H325" i="2" s="1"/>
  <c r="C331" i="2"/>
  <c r="C343" i="2"/>
  <c r="H343" i="2" s="1"/>
  <c r="C140" i="2"/>
  <c r="C380" i="2"/>
  <c r="H380" i="2" s="1"/>
  <c r="C573" i="2"/>
  <c r="H573" i="2" s="1"/>
  <c r="C333" i="2"/>
  <c r="H333" i="2" s="1"/>
  <c r="C334" i="2"/>
  <c r="C329" i="2"/>
  <c r="H329" i="2" s="1"/>
  <c r="H16" i="2"/>
  <c r="C181" i="2"/>
  <c r="H181" i="2" s="1"/>
  <c r="C158" i="2"/>
  <c r="C170" i="2"/>
  <c r="H170" i="2" s="1"/>
  <c r="C188" i="2"/>
  <c r="H188" i="2" s="1"/>
  <c r="C337" i="2"/>
  <c r="H337" i="2" s="1"/>
  <c r="C38" i="2"/>
  <c r="H38" i="2" s="1"/>
  <c r="C122" i="2"/>
  <c r="C147" i="2"/>
  <c r="H147" i="2" s="1"/>
  <c r="C153" i="2"/>
  <c r="H153" i="2" s="1"/>
  <c r="C159" i="2"/>
  <c r="H159" i="2" s="1"/>
  <c r="C165" i="2"/>
  <c r="H165" i="2" s="1"/>
  <c r="C171" i="2"/>
  <c r="H171" i="2" s="1"/>
  <c r="C177" i="2"/>
  <c r="H177" i="2" s="1"/>
  <c r="C183" i="2"/>
  <c r="C189" i="2"/>
  <c r="H189" i="2" s="1"/>
  <c r="C320" i="2"/>
  <c r="H320" i="2" s="1"/>
  <c r="C326" i="2"/>
  <c r="H326" i="2" s="1"/>
  <c r="C332" i="2"/>
  <c r="C338" i="2"/>
  <c r="C344" i="2"/>
  <c r="C519" i="2"/>
  <c r="H519" i="2" s="1"/>
  <c r="C563" i="2"/>
  <c r="H563" i="2" s="1"/>
  <c r="C493" i="2"/>
  <c r="C436" i="2"/>
  <c r="C425" i="2"/>
  <c r="C401" i="2"/>
  <c r="H401" i="2" s="1"/>
  <c r="C468" i="2"/>
  <c r="H468" i="2" s="1"/>
  <c r="C251" i="2"/>
  <c r="H251" i="2" s="1"/>
  <c r="C259" i="2"/>
  <c r="H259" i="2" s="1"/>
  <c r="C206" i="2"/>
  <c r="H206" i="2" s="1"/>
  <c r="C237" i="2"/>
  <c r="C214" i="2"/>
  <c r="H214" i="2" s="1"/>
  <c r="C230" i="2"/>
  <c r="H230" i="2" s="1"/>
  <c r="C245" i="2"/>
  <c r="H245" i="2" s="1"/>
  <c r="C207" i="2"/>
  <c r="H207" i="2" s="1"/>
  <c r="C223" i="2"/>
  <c r="C238" i="2"/>
  <c r="H238" i="2" s="1"/>
  <c r="C231" i="2"/>
  <c r="C246" i="2"/>
  <c r="H246" i="2" s="1"/>
  <c r="C262" i="2"/>
  <c r="H262" i="2" s="1"/>
  <c r="C28" i="2"/>
  <c r="H28" i="2" s="1"/>
  <c r="C36" i="2"/>
  <c r="H36" i="2" s="1"/>
  <c r="H162" i="2"/>
  <c r="C239" i="2"/>
  <c r="C255" i="2"/>
  <c r="H255" i="2" s="1"/>
  <c r="C209" i="2"/>
  <c r="H209" i="2" s="1"/>
  <c r="C217" i="2"/>
  <c r="H217" i="2" s="1"/>
  <c r="C225" i="2"/>
  <c r="H225" i="2" s="1"/>
  <c r="C263" i="2"/>
  <c r="H263" i="2" s="1"/>
  <c r="H378" i="2"/>
  <c r="H556" i="2"/>
  <c r="C202" i="2"/>
  <c r="H202" i="2" s="1"/>
  <c r="C233" i="2"/>
  <c r="H233" i="2" s="1"/>
  <c r="C218" i="2"/>
  <c r="H218" i="2" s="1"/>
  <c r="C226" i="2"/>
  <c r="H226" i="2" s="1"/>
  <c r="C249" i="2"/>
  <c r="H249" i="2" s="1"/>
  <c r="C257" i="2"/>
  <c r="H257" i="2" s="1"/>
  <c r="H331" i="2"/>
  <c r="C19" i="2"/>
  <c r="H19" i="2" s="1"/>
  <c r="H176" i="2"/>
  <c r="C211" i="2"/>
  <c r="C242" i="2"/>
  <c r="C265" i="2"/>
  <c r="H265" i="2" s="1"/>
  <c r="H5" i="2"/>
  <c r="H34" i="2"/>
  <c r="C219" i="2"/>
  <c r="H219" i="2" s="1"/>
  <c r="C227" i="2"/>
  <c r="H227" i="2" s="1"/>
  <c r="C235" i="2"/>
  <c r="H235" i="2" s="1"/>
  <c r="C250" i="2"/>
  <c r="H250" i="2" s="1"/>
  <c r="C258" i="2"/>
  <c r="H258" i="2" s="1"/>
  <c r="C20" i="2"/>
  <c r="H20" i="2" s="1"/>
  <c r="C142" i="2"/>
  <c r="H142" i="2" s="1"/>
  <c r="C205" i="2"/>
  <c r="H205" i="2" s="1"/>
  <c r="C243" i="2"/>
  <c r="H243" i="2" s="1"/>
  <c r="H35" i="2"/>
  <c r="H242" i="2"/>
  <c r="H118" i="2"/>
  <c r="H183" i="2"/>
  <c r="H149" i="2"/>
  <c r="H161" i="2"/>
  <c r="C374" i="2"/>
  <c r="H374" i="2" s="1"/>
  <c r="H30" i="2"/>
  <c r="H144" i="2"/>
  <c r="H167" i="2"/>
  <c r="H353" i="2"/>
  <c r="H173" i="2"/>
  <c r="H179" i="2"/>
  <c r="H185" i="2"/>
  <c r="H145" i="2"/>
  <c r="H332" i="2"/>
  <c r="C369" i="2"/>
  <c r="H369" i="2" s="1"/>
  <c r="C39" i="2"/>
  <c r="C130" i="2"/>
  <c r="H130" i="2" s="1"/>
  <c r="H157" i="2"/>
  <c r="H239" i="2"/>
  <c r="C314" i="2"/>
  <c r="H314" i="2" s="1"/>
  <c r="C26" i="2"/>
  <c r="H26" i="2" s="1"/>
  <c r="H163" i="2"/>
  <c r="H266" i="2"/>
  <c r="C377" i="2"/>
  <c r="H377" i="2" s="1"/>
  <c r="H152" i="2"/>
  <c r="H158" i="2"/>
  <c r="C215" i="2"/>
  <c r="H215" i="2" s="1"/>
  <c r="C241" i="2"/>
  <c r="H241" i="2" s="1"/>
  <c r="C247" i="2"/>
  <c r="H247" i="2" s="1"/>
  <c r="C267" i="2"/>
  <c r="C433" i="2"/>
  <c r="H433" i="2" s="1"/>
  <c r="H372" i="2"/>
  <c r="H134" i="2"/>
  <c r="H154" i="2"/>
  <c r="H223" i="2"/>
  <c r="H143" i="2"/>
  <c r="C312" i="2"/>
  <c r="H312" i="2" s="1"/>
  <c r="H155" i="2"/>
  <c r="C381" i="2"/>
  <c r="C461" i="2"/>
  <c r="H461" i="2" s="1"/>
  <c r="C313" i="2"/>
  <c r="H313" i="2" s="1"/>
  <c r="C21" i="2"/>
  <c r="H31" i="2"/>
  <c r="H191" i="2"/>
  <c r="C376" i="2"/>
  <c r="H376" i="2" s="1"/>
  <c r="C408" i="2"/>
  <c r="H408" i="2" s="1"/>
  <c r="C15" i="2"/>
  <c r="H15" i="2" s="1"/>
  <c r="C32" i="2"/>
  <c r="H32" i="2" s="1"/>
  <c r="H174" i="2"/>
  <c r="H322" i="2"/>
  <c r="C387" i="2"/>
  <c r="H387" i="2" s="1"/>
  <c r="C123" i="2"/>
  <c r="H123" i="2" s="1"/>
  <c r="H169" i="2"/>
  <c r="C221" i="2"/>
  <c r="H221" i="2" s="1"/>
  <c r="C234" i="2"/>
  <c r="H234" i="2" s="1"/>
  <c r="C253" i="2"/>
  <c r="H253" i="2" s="1"/>
  <c r="H344" i="2"/>
  <c r="C370" i="2"/>
  <c r="H370" i="2" s="1"/>
  <c r="C399" i="2"/>
  <c r="H399" i="2" s="1"/>
  <c r="C17" i="2"/>
  <c r="H17" i="2" s="1"/>
  <c r="C27" i="2"/>
  <c r="H27" i="2" s="1"/>
  <c r="H141" i="2"/>
  <c r="C203" i="2"/>
  <c r="H203" i="2" s="1"/>
  <c r="C210" i="2"/>
  <c r="H210" i="2" s="1"/>
  <c r="C222" i="2"/>
  <c r="C229" i="2"/>
  <c r="H229" i="2" s="1"/>
  <c r="C254" i="2"/>
  <c r="H254" i="2" s="1"/>
  <c r="C310" i="2"/>
  <c r="H310" i="2" s="1"/>
  <c r="C315" i="2"/>
  <c r="H315" i="2" s="1"/>
  <c r="H358" i="2"/>
  <c r="C571" i="2"/>
  <c r="H571" i="2" s="1"/>
  <c r="C610" i="2"/>
  <c r="H610" i="2" s="1"/>
  <c r="H122" i="2"/>
  <c r="H545" i="2"/>
  <c r="H160" i="2"/>
  <c r="H151" i="2"/>
  <c r="H478" i="2"/>
  <c r="B114" i="2"/>
  <c r="C47" i="2" s="1"/>
  <c r="H47" i="2" s="1"/>
  <c r="H140" i="2"/>
  <c r="H182" i="2"/>
  <c r="H192" i="2"/>
  <c r="C634" i="2"/>
  <c r="H634" i="2" s="1"/>
  <c r="C642" i="2"/>
  <c r="H642" i="2" s="1"/>
  <c r="H222" i="2"/>
  <c r="C512" i="2"/>
  <c r="H512" i="2" s="1"/>
  <c r="C626" i="2"/>
  <c r="H626" i="2" s="1"/>
  <c r="H168" i="2"/>
  <c r="C429" i="2"/>
  <c r="H429" i="2" s="1"/>
  <c r="C456" i="2"/>
  <c r="H456" i="2" s="1"/>
  <c r="C607" i="2"/>
  <c r="H607" i="2" s="1"/>
  <c r="H237" i="2"/>
  <c r="C364" i="2"/>
  <c r="H364" i="2" s="1"/>
  <c r="C360" i="2"/>
  <c r="H360" i="2" s="1"/>
  <c r="C356" i="2"/>
  <c r="H356" i="2" s="1"/>
  <c r="C352" i="2"/>
  <c r="H352" i="2" s="1"/>
  <c r="C362" i="2"/>
  <c r="H362" i="2" s="1"/>
  <c r="C357" i="2"/>
  <c r="H357" i="2" s="1"/>
  <c r="C351" i="2"/>
  <c r="H351" i="2" s="1"/>
  <c r="C361" i="2"/>
  <c r="H361" i="2" s="1"/>
  <c r="C354" i="2"/>
  <c r="H354" i="2" s="1"/>
  <c r="C359" i="2"/>
  <c r="H359" i="2" s="1"/>
  <c r="C349" i="2"/>
  <c r="H349" i="2" s="1"/>
  <c r="C355" i="2"/>
  <c r="H355" i="2" s="1"/>
  <c r="C363" i="2"/>
  <c r="H363" i="2" s="1"/>
  <c r="C551" i="2"/>
  <c r="H551" i="2" s="1"/>
  <c r="C599" i="2"/>
  <c r="H599" i="2" s="1"/>
  <c r="H425" i="2"/>
  <c r="H649" i="2"/>
  <c r="C7" i="2"/>
  <c r="H7" i="2" s="1"/>
  <c r="C3" i="2"/>
  <c r="H3" i="2" s="1"/>
  <c r="C9" i="2"/>
  <c r="H9" i="2" s="1"/>
  <c r="C8" i="2"/>
  <c r="H8" i="2" s="1"/>
  <c r="C4" i="2"/>
  <c r="H4" i="2" s="1"/>
  <c r="C648" i="2"/>
  <c r="H648" i="2" s="1"/>
  <c r="C644" i="2"/>
  <c r="H644" i="2" s="1"/>
  <c r="C640" i="2"/>
  <c r="H640" i="2" s="1"/>
  <c r="C636" i="2"/>
  <c r="H636" i="2" s="1"/>
  <c r="C632" i="2"/>
  <c r="H632" i="2" s="1"/>
  <c r="C628" i="2"/>
  <c r="H628" i="2" s="1"/>
  <c r="C624" i="2"/>
  <c r="H624" i="2" s="1"/>
  <c r="C620" i="2"/>
  <c r="H620" i="2" s="1"/>
  <c r="C616" i="2"/>
  <c r="H616" i="2" s="1"/>
  <c r="C612" i="2"/>
  <c r="H612" i="2" s="1"/>
  <c r="C608" i="2"/>
  <c r="H608" i="2" s="1"/>
  <c r="C604" i="2"/>
  <c r="H604" i="2" s="1"/>
  <c r="C600" i="2"/>
  <c r="H600" i="2" s="1"/>
  <c r="C649" i="2"/>
  <c r="C643" i="2"/>
  <c r="H643" i="2" s="1"/>
  <c r="C638" i="2"/>
  <c r="H638" i="2" s="1"/>
  <c r="C633" i="2"/>
  <c r="H633" i="2" s="1"/>
  <c r="C627" i="2"/>
  <c r="H627" i="2" s="1"/>
  <c r="C622" i="2"/>
  <c r="H622" i="2" s="1"/>
  <c r="C617" i="2"/>
  <c r="H617" i="2" s="1"/>
  <c r="C611" i="2"/>
  <c r="H611" i="2" s="1"/>
  <c r="C606" i="2"/>
  <c r="H606" i="2" s="1"/>
  <c r="C601" i="2"/>
  <c r="H601" i="2" s="1"/>
  <c r="C639" i="2"/>
  <c r="H639" i="2" s="1"/>
  <c r="C613" i="2"/>
  <c r="H613" i="2" s="1"/>
  <c r="C631" i="2"/>
  <c r="H631" i="2" s="1"/>
  <c r="C605" i="2"/>
  <c r="H605" i="2" s="1"/>
  <c r="C645" i="2"/>
  <c r="H645" i="2" s="1"/>
  <c r="C625" i="2"/>
  <c r="H625" i="2" s="1"/>
  <c r="C618" i="2"/>
  <c r="H618" i="2" s="1"/>
  <c r="C598" i="2"/>
  <c r="H598" i="2" s="1"/>
  <c r="C650" i="2"/>
  <c r="C637" i="2"/>
  <c r="H637" i="2" s="1"/>
  <c r="C641" i="2"/>
  <c r="H641" i="2" s="1"/>
  <c r="C602" i="2"/>
  <c r="H602" i="2" s="1"/>
  <c r="C630" i="2"/>
  <c r="H630" i="2" s="1"/>
  <c r="C647" i="2"/>
  <c r="H647" i="2" s="1"/>
  <c r="C615" i="2"/>
  <c r="H615" i="2" s="1"/>
  <c r="C609" i="2"/>
  <c r="H609" i="2" s="1"/>
  <c r="C623" i="2"/>
  <c r="H623" i="2" s="1"/>
  <c r="C621" i="2"/>
  <c r="H621" i="2" s="1"/>
  <c r="C10" i="2"/>
  <c r="H211" i="2"/>
  <c r="C614" i="2"/>
  <c r="H614" i="2" s="1"/>
  <c r="C503" i="2"/>
  <c r="H503" i="2" s="1"/>
  <c r="C593" i="2"/>
  <c r="H593" i="2" s="1"/>
  <c r="C491" i="2"/>
  <c r="H491" i="2" s="1"/>
  <c r="C487" i="2"/>
  <c r="H487" i="2" s="1"/>
  <c r="C483" i="2"/>
  <c r="H483" i="2" s="1"/>
  <c r="C479" i="2"/>
  <c r="H479" i="2" s="1"/>
  <c r="C475" i="2"/>
  <c r="H475" i="2" s="1"/>
  <c r="C471" i="2"/>
  <c r="H471" i="2" s="1"/>
  <c r="C467" i="2"/>
  <c r="H467" i="2" s="1"/>
  <c r="C463" i="2"/>
  <c r="H463" i="2" s="1"/>
  <c r="C459" i="2"/>
  <c r="H459" i="2" s="1"/>
  <c r="C455" i="2"/>
  <c r="H455" i="2" s="1"/>
  <c r="C451" i="2"/>
  <c r="H451" i="2" s="1"/>
  <c r="C447" i="2"/>
  <c r="H447" i="2" s="1"/>
  <c r="C443" i="2"/>
  <c r="H443" i="2" s="1"/>
  <c r="C419" i="2"/>
  <c r="H419" i="2" s="1"/>
  <c r="C415" i="2"/>
  <c r="H415" i="2" s="1"/>
  <c r="C411" i="2"/>
  <c r="H411" i="2" s="1"/>
  <c r="C407" i="2"/>
  <c r="H407" i="2" s="1"/>
  <c r="C403" i="2"/>
  <c r="H403" i="2" s="1"/>
  <c r="C438" i="2"/>
  <c r="H438" i="2" s="1"/>
  <c r="C434" i="2"/>
  <c r="H434" i="2" s="1"/>
  <c r="C430" i="2"/>
  <c r="H430" i="2" s="1"/>
  <c r="C426" i="2"/>
  <c r="H426" i="2" s="1"/>
  <c r="C398" i="2"/>
  <c r="C394" i="2"/>
  <c r="H394" i="2" s="1"/>
  <c r="C390" i="2"/>
  <c r="H390" i="2" s="1"/>
  <c r="C386" i="2"/>
  <c r="H386" i="2" s="1"/>
  <c r="C490" i="2"/>
  <c r="H490" i="2" s="1"/>
  <c r="C486" i="2"/>
  <c r="H486" i="2" s="1"/>
  <c r="C482" i="2"/>
  <c r="H482" i="2" s="1"/>
  <c r="C478" i="2"/>
  <c r="C474" i="2"/>
  <c r="H474" i="2" s="1"/>
  <c r="C470" i="2"/>
  <c r="H470" i="2" s="1"/>
  <c r="C466" i="2"/>
  <c r="H466" i="2" s="1"/>
  <c r="C462" i="2"/>
  <c r="H462" i="2" s="1"/>
  <c r="C458" i="2"/>
  <c r="H458" i="2" s="1"/>
  <c r="C454" i="2"/>
  <c r="H454" i="2" s="1"/>
  <c r="C450" i="2"/>
  <c r="H450" i="2" s="1"/>
  <c r="C446" i="2"/>
  <c r="H446" i="2" s="1"/>
  <c r="C442" i="2"/>
  <c r="H442" i="2" s="1"/>
  <c r="C422" i="2"/>
  <c r="H422" i="2" s="1"/>
  <c r="C418" i="2"/>
  <c r="H418" i="2" s="1"/>
  <c r="C414" i="2"/>
  <c r="H414" i="2" s="1"/>
  <c r="C410" i="2"/>
  <c r="H410" i="2" s="1"/>
  <c r="C406" i="2"/>
  <c r="H406" i="2" s="1"/>
  <c r="C402" i="2"/>
  <c r="H402" i="2" s="1"/>
  <c r="C492" i="2"/>
  <c r="H492" i="2" s="1"/>
  <c r="C481" i="2"/>
  <c r="H481" i="2" s="1"/>
  <c r="C476" i="2"/>
  <c r="H476" i="2" s="1"/>
  <c r="C465" i="2"/>
  <c r="H465" i="2" s="1"/>
  <c r="C460" i="2"/>
  <c r="H460" i="2" s="1"/>
  <c r="C449" i="2"/>
  <c r="H449" i="2" s="1"/>
  <c r="C444" i="2"/>
  <c r="H444" i="2" s="1"/>
  <c r="C417" i="2"/>
  <c r="H417" i="2" s="1"/>
  <c r="C412" i="2"/>
  <c r="H412" i="2" s="1"/>
  <c r="C437" i="2"/>
  <c r="H437" i="2" s="1"/>
  <c r="C432" i="2"/>
  <c r="H432" i="2" s="1"/>
  <c r="C427" i="2"/>
  <c r="H427" i="2" s="1"/>
  <c r="C400" i="2"/>
  <c r="H400" i="2" s="1"/>
  <c r="C395" i="2"/>
  <c r="H395" i="2" s="1"/>
  <c r="C389" i="2"/>
  <c r="H389" i="2" s="1"/>
  <c r="C485" i="2"/>
  <c r="H485" i="2" s="1"/>
  <c r="C480" i="2"/>
  <c r="H480" i="2" s="1"/>
  <c r="C469" i="2"/>
  <c r="H469" i="2" s="1"/>
  <c r="C464" i="2"/>
  <c r="H464" i="2" s="1"/>
  <c r="C453" i="2"/>
  <c r="H453" i="2" s="1"/>
  <c r="C448" i="2"/>
  <c r="H448" i="2" s="1"/>
  <c r="C421" i="2"/>
  <c r="H421" i="2" s="1"/>
  <c r="C416" i="2"/>
  <c r="H416" i="2" s="1"/>
  <c r="C405" i="2"/>
  <c r="H405" i="2" s="1"/>
  <c r="C472" i="2"/>
  <c r="H472" i="2" s="1"/>
  <c r="C452" i="2"/>
  <c r="H452" i="2" s="1"/>
  <c r="C445" i="2"/>
  <c r="H445" i="2" s="1"/>
  <c r="C392" i="2"/>
  <c r="H392" i="2" s="1"/>
  <c r="C431" i="2"/>
  <c r="H431" i="2" s="1"/>
  <c r="C385" i="2"/>
  <c r="H385" i="2" s="1"/>
  <c r="C484" i="2"/>
  <c r="H484" i="2" s="1"/>
  <c r="C477" i="2"/>
  <c r="H477" i="2" s="1"/>
  <c r="C457" i="2"/>
  <c r="C424" i="2"/>
  <c r="H424" i="2" s="1"/>
  <c r="C397" i="2"/>
  <c r="H397" i="2" s="1"/>
  <c r="C404" i="2"/>
  <c r="H404" i="2" s="1"/>
  <c r="C391" i="2"/>
  <c r="H391" i="2" s="1"/>
  <c r="C413" i="2"/>
  <c r="H413" i="2" s="1"/>
  <c r="C428" i="2"/>
  <c r="H428" i="2" s="1"/>
  <c r="C420" i="2"/>
  <c r="H420" i="2" s="1"/>
  <c r="C388" i="2"/>
  <c r="H388" i="2" s="1"/>
  <c r="C473" i="2"/>
  <c r="H473" i="2" s="1"/>
  <c r="C441" i="2"/>
  <c r="H441" i="2" s="1"/>
  <c r="C435" i="2"/>
  <c r="H435" i="2" s="1"/>
  <c r="C396" i="2"/>
  <c r="C489" i="2"/>
  <c r="H489" i="2" s="1"/>
  <c r="C488" i="2"/>
  <c r="H488" i="2" s="1"/>
  <c r="C409" i="2"/>
  <c r="H409" i="2" s="1"/>
  <c r="C393" i="2"/>
  <c r="H393" i="2" s="1"/>
  <c r="C557" i="2"/>
  <c r="H557" i="2" s="1"/>
  <c r="C6" i="2"/>
  <c r="H6" i="2" s="1"/>
  <c r="H125" i="2"/>
  <c r="C136" i="2"/>
  <c r="H136" i="2" s="1"/>
  <c r="C132" i="2"/>
  <c r="H132" i="2" s="1"/>
  <c r="C128" i="2"/>
  <c r="H128" i="2" s="1"/>
  <c r="C124" i="2"/>
  <c r="H124" i="2" s="1"/>
  <c r="C120" i="2"/>
  <c r="H120" i="2" s="1"/>
  <c r="C116" i="2"/>
  <c r="H116" i="2" s="1"/>
  <c r="C137" i="2"/>
  <c r="H137" i="2" s="1"/>
  <c r="C131" i="2"/>
  <c r="H131" i="2" s="1"/>
  <c r="C126" i="2"/>
  <c r="H126" i="2" s="1"/>
  <c r="C121" i="2"/>
  <c r="H121" i="2" s="1"/>
  <c r="B196" i="2"/>
  <c r="H184" i="2"/>
  <c r="H231" i="2"/>
  <c r="C365" i="2"/>
  <c r="H635" i="2"/>
  <c r="H350" i="2"/>
  <c r="C547" i="2"/>
  <c r="H547" i="2" s="1"/>
  <c r="C543" i="2"/>
  <c r="H543" i="2" s="1"/>
  <c r="C539" i="2"/>
  <c r="H539" i="2" s="1"/>
  <c r="C535" i="2"/>
  <c r="H535" i="2" s="1"/>
  <c r="C531" i="2"/>
  <c r="H531" i="2" s="1"/>
  <c r="C527" i="2"/>
  <c r="H527" i="2" s="1"/>
  <c r="C522" i="2"/>
  <c r="H522" i="2" s="1"/>
  <c r="C518" i="2"/>
  <c r="H518" i="2" s="1"/>
  <c r="C514" i="2"/>
  <c r="H514" i="2" s="1"/>
  <c r="C510" i="2"/>
  <c r="H510" i="2" s="1"/>
  <c r="C506" i="2"/>
  <c r="H506" i="2" s="1"/>
  <c r="C502" i="2"/>
  <c r="H502" i="2" s="1"/>
  <c r="C498" i="2"/>
  <c r="H498" i="2" s="1"/>
  <c r="C594" i="2"/>
  <c r="C590" i="2"/>
  <c r="H590" i="2" s="1"/>
  <c r="C586" i="2"/>
  <c r="H586" i="2" s="1"/>
  <c r="C582" i="2"/>
  <c r="H582" i="2" s="1"/>
  <c r="C578" i="2"/>
  <c r="H578" i="2" s="1"/>
  <c r="C574" i="2"/>
  <c r="H574" i="2" s="1"/>
  <c r="C570" i="2"/>
  <c r="H570" i="2" s="1"/>
  <c r="C566" i="2"/>
  <c r="C562" i="2"/>
  <c r="H562" i="2" s="1"/>
  <c r="C558" i="2"/>
  <c r="H558" i="2" s="1"/>
  <c r="C554" i="2"/>
  <c r="H554" i="2" s="1"/>
  <c r="C546" i="2"/>
  <c r="H546" i="2" s="1"/>
  <c r="C542" i="2"/>
  <c r="H542" i="2" s="1"/>
  <c r="C538" i="2"/>
  <c r="H538" i="2" s="1"/>
  <c r="C534" i="2"/>
  <c r="H534" i="2" s="1"/>
  <c r="C530" i="2"/>
  <c r="H530" i="2" s="1"/>
  <c r="C526" i="2"/>
  <c r="H526" i="2" s="1"/>
  <c r="C521" i="2"/>
  <c r="H521" i="2" s="1"/>
  <c r="C517" i="2"/>
  <c r="C513" i="2"/>
  <c r="C509" i="2"/>
  <c r="H509" i="2" s="1"/>
  <c r="C505" i="2"/>
  <c r="H505" i="2" s="1"/>
  <c r="C501" i="2"/>
  <c r="H501" i="2" s="1"/>
  <c r="C497" i="2"/>
  <c r="H497" i="2" s="1"/>
  <c r="C549" i="2"/>
  <c r="H549" i="2" s="1"/>
  <c r="C544" i="2"/>
  <c r="H544" i="2" s="1"/>
  <c r="C533" i="2"/>
  <c r="H533" i="2" s="1"/>
  <c r="C528" i="2"/>
  <c r="H528" i="2" s="1"/>
  <c r="C516" i="2"/>
  <c r="H516" i="2" s="1"/>
  <c r="C511" i="2"/>
  <c r="H511" i="2" s="1"/>
  <c r="C500" i="2"/>
  <c r="H500" i="2" s="1"/>
  <c r="C591" i="2"/>
  <c r="H591" i="2" s="1"/>
  <c r="C585" i="2"/>
  <c r="H585" i="2" s="1"/>
  <c r="C580" i="2"/>
  <c r="H580" i="2" s="1"/>
  <c r="C575" i="2"/>
  <c r="H575" i="2" s="1"/>
  <c r="C569" i="2"/>
  <c r="H569" i="2" s="1"/>
  <c r="C564" i="2"/>
  <c r="H564" i="2" s="1"/>
  <c r="C559" i="2"/>
  <c r="H559" i="2" s="1"/>
  <c r="C553" i="2"/>
  <c r="H553" i="2" s="1"/>
  <c r="C548" i="2"/>
  <c r="H548" i="2" s="1"/>
  <c r="C537" i="2"/>
  <c r="H537" i="2" s="1"/>
  <c r="C532" i="2"/>
  <c r="H532" i="2" s="1"/>
  <c r="C520" i="2"/>
  <c r="H520" i="2" s="1"/>
  <c r="C515" i="2"/>
  <c r="H515" i="2" s="1"/>
  <c r="C504" i="2"/>
  <c r="H504" i="2" s="1"/>
  <c r="C499" i="2"/>
  <c r="H499" i="2" s="1"/>
  <c r="C579" i="2"/>
  <c r="H579" i="2" s="1"/>
  <c r="C567" i="2"/>
  <c r="H567" i="2" s="1"/>
  <c r="C555" i="2"/>
  <c r="H555" i="2" s="1"/>
  <c r="C560" i="2"/>
  <c r="H560" i="2" s="1"/>
  <c r="C541" i="2"/>
  <c r="H541" i="2" s="1"/>
  <c r="C584" i="2"/>
  <c r="H584" i="2" s="1"/>
  <c r="C572" i="2"/>
  <c r="H572" i="2" s="1"/>
  <c r="C507" i="2"/>
  <c r="H507" i="2" s="1"/>
  <c r="C577" i="2"/>
  <c r="H577" i="2" s="1"/>
  <c r="C565" i="2"/>
  <c r="H565" i="2" s="1"/>
  <c r="C592" i="2"/>
  <c r="H592" i="2" s="1"/>
  <c r="C525" i="2"/>
  <c r="H525" i="2" s="1"/>
  <c r="C561" i="2"/>
  <c r="H561" i="2" s="1"/>
  <c r="C540" i="2"/>
  <c r="H540" i="2" s="1"/>
  <c r="C589" i="2"/>
  <c r="H589" i="2" s="1"/>
  <c r="C552" i="2"/>
  <c r="H552" i="2" s="1"/>
  <c r="C576" i="2"/>
  <c r="H576" i="2" s="1"/>
  <c r="C568" i="2"/>
  <c r="H568" i="2" s="1"/>
  <c r="C583" i="2"/>
  <c r="H583" i="2" s="1"/>
  <c r="C523" i="2"/>
  <c r="H523" i="2" s="1"/>
  <c r="C508" i="2"/>
  <c r="H508" i="2" s="1"/>
  <c r="C581" i="2"/>
  <c r="H581" i="2" s="1"/>
  <c r="C529" i="2"/>
  <c r="H529" i="2" s="1"/>
  <c r="H148" i="2"/>
  <c r="C133" i="2"/>
  <c r="H133" i="2" s="1"/>
  <c r="C138" i="2"/>
  <c r="H164" i="2"/>
  <c r="C423" i="2"/>
  <c r="H423" i="2" s="1"/>
  <c r="C440" i="2"/>
  <c r="H440" i="2" s="1"/>
  <c r="C588" i="2"/>
  <c r="H588" i="2" s="1"/>
  <c r="C619" i="2"/>
  <c r="H619" i="2" s="1"/>
  <c r="C629" i="2"/>
  <c r="H629" i="2" s="1"/>
  <c r="C646" i="2"/>
  <c r="H646" i="2" s="1"/>
  <c r="H311" i="2"/>
  <c r="H156" i="2"/>
  <c r="H180" i="2"/>
  <c r="H457" i="2"/>
  <c r="H119" i="2"/>
  <c r="H135" i="2"/>
  <c r="C18" i="2"/>
  <c r="H18" i="2" s="1"/>
  <c r="C14" i="2"/>
  <c r="H14" i="2" s="1"/>
  <c r="H396" i="2"/>
  <c r="C37" i="2"/>
  <c r="H37" i="2" s="1"/>
  <c r="C33" i="2"/>
  <c r="H33" i="2" s="1"/>
  <c r="C29" i="2"/>
  <c r="H29" i="2" s="1"/>
  <c r="C25" i="2"/>
  <c r="H25" i="2" s="1"/>
  <c r="H517" i="2"/>
  <c r="B197" i="2"/>
  <c r="C261" i="2"/>
  <c r="H261" i="2" s="1"/>
  <c r="H338" i="2"/>
  <c r="H436" i="2"/>
  <c r="H334" i="2"/>
  <c r="H513" i="2"/>
  <c r="H566" i="2"/>
  <c r="B269" i="2"/>
  <c r="C264" i="2"/>
  <c r="H264" i="2" s="1"/>
  <c r="C260" i="2"/>
  <c r="H260" i="2" s="1"/>
  <c r="C256" i="2"/>
  <c r="H256" i="2" s="1"/>
  <c r="C252" i="2"/>
  <c r="H252" i="2" s="1"/>
  <c r="C248" i="2"/>
  <c r="H248" i="2" s="1"/>
  <c r="C244" i="2"/>
  <c r="H244" i="2" s="1"/>
  <c r="C240" i="2"/>
  <c r="H240" i="2" s="1"/>
  <c r="C236" i="2"/>
  <c r="H236" i="2" s="1"/>
  <c r="C232" i="2"/>
  <c r="H232" i="2" s="1"/>
  <c r="C228" i="2"/>
  <c r="H228" i="2" s="1"/>
  <c r="C224" i="2"/>
  <c r="H224" i="2" s="1"/>
  <c r="C220" i="2"/>
  <c r="H220" i="2" s="1"/>
  <c r="C216" i="2"/>
  <c r="H216" i="2" s="1"/>
  <c r="C212" i="2"/>
  <c r="H212" i="2" s="1"/>
  <c r="C208" i="2"/>
  <c r="H208" i="2" s="1"/>
  <c r="C204" i="2"/>
  <c r="H204" i="2" s="1"/>
  <c r="H398" i="2"/>
  <c r="C379" i="2"/>
  <c r="H379" i="2" s="1"/>
  <c r="C375" i="2"/>
  <c r="H375" i="2" s="1"/>
  <c r="C371" i="2"/>
  <c r="H371" i="2" s="1"/>
  <c r="C550" i="2"/>
  <c r="H550" i="2" s="1"/>
  <c r="H316" i="2" l="1"/>
  <c r="H267" i="2"/>
  <c r="G269" i="2" s="1"/>
  <c r="H594" i="2"/>
  <c r="H345" i="2"/>
  <c r="H10" i="2"/>
  <c r="H493" i="2"/>
  <c r="H650" i="2"/>
  <c r="H365" i="2"/>
  <c r="H138" i="2"/>
  <c r="G196" i="2" s="1"/>
  <c r="H193" i="2"/>
  <c r="G197" i="2" s="1"/>
  <c r="H39" i="2"/>
  <c r="B306" i="2"/>
  <c r="C269" i="2" s="1"/>
  <c r="H381" i="2"/>
  <c r="H21" i="2"/>
  <c r="C44" i="2"/>
  <c r="H44" i="2" s="1"/>
  <c r="C111" i="2"/>
  <c r="H111" i="2" s="1"/>
  <c r="C107" i="2"/>
  <c r="H107" i="2" s="1"/>
  <c r="C103" i="2"/>
  <c r="H103" i="2" s="1"/>
  <c r="C99" i="2"/>
  <c r="H99" i="2" s="1"/>
  <c r="C95" i="2"/>
  <c r="H95" i="2" s="1"/>
  <c r="C91" i="2"/>
  <c r="H91" i="2" s="1"/>
  <c r="C87" i="2"/>
  <c r="H87" i="2" s="1"/>
  <c r="C83" i="2"/>
  <c r="H83" i="2" s="1"/>
  <c r="C79" i="2"/>
  <c r="H79" i="2" s="1"/>
  <c r="C75" i="2"/>
  <c r="H75" i="2" s="1"/>
  <c r="C71" i="2"/>
  <c r="H71" i="2" s="1"/>
  <c r="C67" i="2"/>
  <c r="H67" i="2" s="1"/>
  <c r="C63" i="2"/>
  <c r="H63" i="2" s="1"/>
  <c r="C59" i="2"/>
  <c r="H59" i="2" s="1"/>
  <c r="C55" i="2"/>
  <c r="H55" i="2" s="1"/>
  <c r="C51" i="2"/>
  <c r="H51" i="2" s="1"/>
  <c r="C114" i="2"/>
  <c r="C109" i="2"/>
  <c r="H109" i="2" s="1"/>
  <c r="C104" i="2"/>
  <c r="H104" i="2" s="1"/>
  <c r="C98" i="2"/>
  <c r="H98" i="2" s="1"/>
  <c r="C93" i="2"/>
  <c r="H93" i="2" s="1"/>
  <c r="C88" i="2"/>
  <c r="H88" i="2" s="1"/>
  <c r="C82" i="2"/>
  <c r="H82" i="2" s="1"/>
  <c r="C77" i="2"/>
  <c r="H77" i="2" s="1"/>
  <c r="C72" i="2"/>
  <c r="H72" i="2" s="1"/>
  <c r="C66" i="2"/>
  <c r="H66" i="2" s="1"/>
  <c r="C61" i="2"/>
  <c r="H61" i="2" s="1"/>
  <c r="C56" i="2"/>
  <c r="H56" i="2" s="1"/>
  <c r="C50" i="2"/>
  <c r="H50" i="2" s="1"/>
  <c r="C46" i="2"/>
  <c r="H46" i="2" s="1"/>
  <c r="C81" i="2"/>
  <c r="H81" i="2" s="1"/>
  <c r="C69" i="2"/>
  <c r="H69" i="2" s="1"/>
  <c r="C57" i="2"/>
  <c r="H57" i="2" s="1"/>
  <c r="C43" i="2"/>
  <c r="H43" i="2" s="1"/>
  <c r="B195" i="2"/>
  <c r="C110" i="2"/>
  <c r="H110" i="2" s="1"/>
  <c r="C112" i="2"/>
  <c r="H112" i="2" s="1"/>
  <c r="C100" i="2"/>
  <c r="H100" i="2" s="1"/>
  <c r="C74" i="2"/>
  <c r="H74" i="2" s="1"/>
  <c r="C62" i="2"/>
  <c r="H62" i="2" s="1"/>
  <c r="C105" i="2"/>
  <c r="H105" i="2" s="1"/>
  <c r="C86" i="2"/>
  <c r="H86" i="2" s="1"/>
  <c r="C49" i="2"/>
  <c r="H49" i="2" s="1"/>
  <c r="C92" i="2"/>
  <c r="H92" i="2" s="1"/>
  <c r="C68" i="2"/>
  <c r="H68" i="2" s="1"/>
  <c r="C73" i="2"/>
  <c r="H73" i="2" s="1"/>
  <c r="C48" i="2"/>
  <c r="H48" i="2" s="1"/>
  <c r="C90" i="2"/>
  <c r="H90" i="2" s="1"/>
  <c r="C78" i="2"/>
  <c r="H78" i="2" s="1"/>
  <c r="C102" i="2"/>
  <c r="H102" i="2" s="1"/>
  <c r="C53" i="2"/>
  <c r="H53" i="2" s="1"/>
  <c r="C80" i="2"/>
  <c r="H80" i="2" s="1"/>
  <c r="C54" i="2"/>
  <c r="H54" i="2" s="1"/>
  <c r="C60" i="2"/>
  <c r="H60" i="2" s="1"/>
  <c r="C97" i="2"/>
  <c r="H97" i="2" s="1"/>
  <c r="C85" i="2"/>
  <c r="H85" i="2" s="1"/>
  <c r="C65" i="2"/>
  <c r="H65" i="2" s="1"/>
  <c r="C94" i="2"/>
  <c r="H94" i="2" s="1"/>
  <c r="C45" i="2"/>
  <c r="H45" i="2" s="1"/>
  <c r="C89" i="2"/>
  <c r="H89" i="2" s="1"/>
  <c r="C96" i="2"/>
  <c r="H96" i="2" s="1"/>
  <c r="C52" i="2"/>
  <c r="H52" i="2" s="1"/>
  <c r="C84" i="2"/>
  <c r="H84" i="2" s="1"/>
  <c r="C108" i="2"/>
  <c r="H108" i="2" s="1"/>
  <c r="C106" i="2"/>
  <c r="H106" i="2" s="1"/>
  <c r="C113" i="2"/>
  <c r="H113" i="2" s="1"/>
  <c r="C58" i="2"/>
  <c r="H58" i="2" s="1"/>
  <c r="C76" i="2"/>
  <c r="H76" i="2" s="1"/>
  <c r="C101" i="2"/>
  <c r="H101" i="2" s="1"/>
  <c r="C64" i="2"/>
  <c r="H64" i="2" s="1"/>
  <c r="C70" i="2"/>
  <c r="H70" i="2" s="1"/>
  <c r="B198" i="2" l="1"/>
  <c r="C195" i="2" s="1"/>
  <c r="H114" i="2"/>
  <c r="G195" i="2" s="1"/>
  <c r="H269" i="2"/>
  <c r="C305" i="2"/>
  <c r="H305" i="2" s="1"/>
  <c r="C301" i="2"/>
  <c r="H301" i="2" s="1"/>
  <c r="C297" i="2"/>
  <c r="H297" i="2" s="1"/>
  <c r="C293" i="2"/>
  <c r="H293" i="2" s="1"/>
  <c r="C289" i="2"/>
  <c r="H289" i="2" s="1"/>
  <c r="C285" i="2"/>
  <c r="H285" i="2" s="1"/>
  <c r="C281" i="2"/>
  <c r="H281" i="2" s="1"/>
  <c r="C277" i="2"/>
  <c r="H277" i="2" s="1"/>
  <c r="C273" i="2"/>
  <c r="H273" i="2" s="1"/>
  <c r="C283" i="2"/>
  <c r="H283" i="2" s="1"/>
  <c r="C302" i="2"/>
  <c r="H302" i="2" s="1"/>
  <c r="C292" i="2"/>
  <c r="H292" i="2" s="1"/>
  <c r="C278" i="2"/>
  <c r="H278" i="2" s="1"/>
  <c r="C306" i="2"/>
  <c r="C287" i="2"/>
  <c r="H287" i="2" s="1"/>
  <c r="C296" i="2"/>
  <c r="H296" i="2" s="1"/>
  <c r="C282" i="2"/>
  <c r="H282" i="2" s="1"/>
  <c r="C272" i="2"/>
  <c r="H272" i="2" s="1"/>
  <c r="C294" i="2"/>
  <c r="H294" i="2" s="1"/>
  <c r="C288" i="2"/>
  <c r="H288" i="2" s="1"/>
  <c r="C270" i="2"/>
  <c r="H270" i="2" s="1"/>
  <c r="C299" i="2"/>
  <c r="H299" i="2" s="1"/>
  <c r="C275" i="2"/>
  <c r="H275" i="2" s="1"/>
  <c r="C304" i="2"/>
  <c r="H304" i="2" s="1"/>
  <c r="C280" i="2"/>
  <c r="H280" i="2" s="1"/>
  <c r="C286" i="2"/>
  <c r="H286" i="2" s="1"/>
  <c r="C279" i="2"/>
  <c r="H279" i="2" s="1"/>
  <c r="C271" i="2"/>
  <c r="H271" i="2" s="1"/>
  <c r="C276" i="2"/>
  <c r="H276" i="2" s="1"/>
  <c r="C300" i="2"/>
  <c r="H300" i="2" s="1"/>
  <c r="C284" i="2"/>
  <c r="H284" i="2" s="1"/>
  <c r="C298" i="2"/>
  <c r="H298" i="2" s="1"/>
  <c r="C290" i="2"/>
  <c r="H290" i="2" s="1"/>
  <c r="C274" i="2"/>
  <c r="H274" i="2" s="1"/>
  <c r="C291" i="2"/>
  <c r="H291" i="2" s="1"/>
  <c r="C295" i="2"/>
  <c r="H295" i="2" s="1"/>
  <c r="C303" i="2"/>
  <c r="H303" i="2" s="1"/>
  <c r="H195" i="2" l="1"/>
  <c r="H306" i="2"/>
  <c r="C198" i="2"/>
  <c r="C196" i="2"/>
  <c r="H196" i="2" s="1"/>
  <c r="C197" i="2"/>
  <c r="H197" i="2" s="1"/>
  <c r="H19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tc={FD823D8B-C62E-4D54-839A-BD528B2AEA63}</author>
    <author>tc={30951A09-0B51-4C12-ABD7-BAF7352FEC5B}</author>
  </authors>
  <commentList>
    <comment ref="A439" authorId="0" shapeId="0" xr:uid="{FD823D8B-C62E-4D54-839A-BD528B2AEA63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Wird vom Amt Itzstedt verwaltet</t>
      </text>
    </comment>
    <comment ref="A524" authorId="1" shapeId="0" xr:uid="{30951A09-0B51-4C12-ABD7-BAF7352FEC5B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Gehört zum Amt Plöner See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tc={881311BC-6983-43EF-9B56-ADB90D1D3ACE}</author>
    <author>tc={6B1037B8-D9B8-4609-9209-BC384007346C}</author>
  </authors>
  <commentList>
    <comment ref="A439" authorId="0" shapeId="0" xr:uid="{881311BC-6983-43EF-9B56-ADB90D1D3ACE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Wird vom Amt Itzstedt verwaltet</t>
      </text>
    </comment>
    <comment ref="A524" authorId="1" shapeId="0" xr:uid="{6B1037B8-D9B8-4609-9209-BC384007346C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Gehört zum Amt Plöner See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tc={37E52E12-3523-4B35-A715-BEAC605AEBD1}</author>
    <author>tc={EE7C11A2-3E65-4263-8C69-FD115589BE92}</author>
  </authors>
  <commentList>
    <comment ref="E119" authorId="0" shapeId="0" xr:uid="{37E52E12-3523-4B35-A715-BEAC605AEBD1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Ohne TaxOmobil, da dieses für die hier betrachteten Größen gleichbedeutend wie der MIV ist</t>
      </text>
    </comment>
    <comment ref="M119" authorId="1" shapeId="0" xr:uid="{EE7C11A2-3E65-4263-8C69-FD115589BE92}">
      <text>
        <t>[Kommentarthread]
Ihre Version von Excel gestattet Ihnen das Lesen dieses Kommentarthreads. Jegliche Bearbeitungen daran werden jedoch entfernt, wenn die Datei in einer neueren Version von Excel geöffnet wird. Weitere Informationen: https://go.microsoft.com/fwlink/?linkid=870924.
Kommentar:
    RMV gibt nur den Weg zwischen 2 Haltestellen an, nicht beim Umstiegen innerhalb einer Haltestellen</t>
      </text>
    </comment>
  </commentList>
</comments>
</file>

<file path=xl/sharedStrings.xml><?xml version="1.0" encoding="utf-8"?>
<sst xmlns="http://schemas.openxmlformats.org/spreadsheetml/2006/main" count="2910" uniqueCount="969">
  <si>
    <t>Summe</t>
  </si>
  <si>
    <t>GVV Krautheim</t>
  </si>
  <si>
    <t>VVG Künzelsau</t>
  </si>
  <si>
    <t>GVV Mittleres Kochertal</t>
  </si>
  <si>
    <t>GVV Hohenloher Ebene</t>
  </si>
  <si>
    <t>VVG Öhringen</t>
  </si>
  <si>
    <t>Schöntal</t>
  </si>
  <si>
    <t>Bretzfeld</t>
  </si>
  <si>
    <t>GVV Dornstetten</t>
  </si>
  <si>
    <t>VVG Freudenstadt</t>
  </si>
  <si>
    <t>VVG Horb am Neckar</t>
  </si>
  <si>
    <t>VVG Pfalzgrafenweiler</t>
  </si>
  <si>
    <t>Alpirsbach</t>
  </si>
  <si>
    <t>Baiersbronn</t>
  </si>
  <si>
    <t>Loßburg</t>
  </si>
  <si>
    <t>GVV Altshausen</t>
  </si>
  <si>
    <t>VVG Bad Waldsee</t>
  </si>
  <si>
    <t>GVV Gullen</t>
  </si>
  <si>
    <t>VVG Leutkirch im Allgäu</t>
  </si>
  <si>
    <t>GVV Mittleres Schussental</t>
  </si>
  <si>
    <t>VVG Vogt</t>
  </si>
  <si>
    <t>VVG Wangen im Allgäu</t>
  </si>
  <si>
    <t>VVG Wilhelmsdorf</t>
  </si>
  <si>
    <t>GVV Fronreute-Wolpertswende</t>
  </si>
  <si>
    <t>Aulendorf</t>
  </si>
  <si>
    <t>Bad Wurzach</t>
  </si>
  <si>
    <t>Isny im Allgäu</t>
  </si>
  <si>
    <t>Kißlegg</t>
  </si>
  <si>
    <t>Argenbühl</t>
  </si>
  <si>
    <t>VG Eisenberg (Pfalz)</t>
  </si>
  <si>
    <t>VG Göllheim</t>
  </si>
  <si>
    <t>VG Kirchheimbolanden</t>
  </si>
  <si>
    <t>VG Winnweiler</t>
  </si>
  <si>
    <t>VG Nordpfälzer Land (ehem. Alsenz-Obermoschel)</t>
  </si>
  <si>
    <t>VG Nordpfälzer Land (ehem. Rockenhausen)</t>
  </si>
  <si>
    <t>Alzey</t>
  </si>
  <si>
    <t>VG Alzey-Land</t>
  </si>
  <si>
    <t>VG Eich</t>
  </si>
  <si>
    <t>VG Monsheim</t>
  </si>
  <si>
    <t>VG Wöllstein</t>
  </si>
  <si>
    <t>VG Wöllstadt</t>
  </si>
  <si>
    <t>VG Wonnegau</t>
  </si>
  <si>
    <t>Bad Dürkheim</t>
  </si>
  <si>
    <t>Grünstadt</t>
  </si>
  <si>
    <t>Haßloch</t>
  </si>
  <si>
    <t>VG Deidesheim</t>
  </si>
  <si>
    <t>VG Freinsheim</t>
  </si>
  <si>
    <t>VG Lambrecht (Pfalz)</t>
  </si>
  <si>
    <t>VG Wachenheim an der Weinstraße</t>
  </si>
  <si>
    <t>VG Leiningerland</t>
  </si>
  <si>
    <t>Germersheim</t>
  </si>
  <si>
    <t>Wörth am Rhein</t>
  </si>
  <si>
    <t>VG Bellheim</t>
  </si>
  <si>
    <t>VG Hagenbach</t>
  </si>
  <si>
    <t>VG Jockgrim</t>
  </si>
  <si>
    <t>VG Kandel</t>
  </si>
  <si>
    <t>VG Lingenfeld</t>
  </si>
  <si>
    <t>VG Rülzheim</t>
  </si>
  <si>
    <t>VG Bruchmühlbach-Miesau</t>
  </si>
  <si>
    <t>VG Elsenbach-Alsenborn</t>
  </si>
  <si>
    <t>VG Ramstein-Miesenbach</t>
  </si>
  <si>
    <t>VG Weilerbach</t>
  </si>
  <si>
    <t>VG Otterbach-Otterberg</t>
  </si>
  <si>
    <t>VG Landstuhl</t>
  </si>
  <si>
    <t>VG Lauterecken-Wolfstein</t>
  </si>
  <si>
    <t>VG Oberes Glantal</t>
  </si>
  <si>
    <t>VG Kusel-Altenglan</t>
  </si>
  <si>
    <t>VG Annweiler am Trifels</t>
  </si>
  <si>
    <t>VG Bad Bergzabern</t>
  </si>
  <si>
    <t>VG Edenkoben</t>
  </si>
  <si>
    <t>VG Herxheim</t>
  </si>
  <si>
    <t>VG Landau-Land</t>
  </si>
  <si>
    <t>VG Maikammer</t>
  </si>
  <si>
    <t>VG Offenbach an der Queich</t>
  </si>
  <si>
    <t>VG Dahner Felsenland</t>
  </si>
  <si>
    <t>VG Hauenstein</t>
  </si>
  <si>
    <t>VG Pirmasens-Land</t>
  </si>
  <si>
    <t>VG Rodalben</t>
  </si>
  <si>
    <t>VG Waldfischbach-Burgalben</t>
  </si>
  <si>
    <t>VG Zweibrücken-Land</t>
  </si>
  <si>
    <t>VG Thaleischweiler-Wallhalben</t>
  </si>
  <si>
    <t>Bobenheim-Roxheim</t>
  </si>
  <si>
    <t>Böhl-Iggelheim</t>
  </si>
  <si>
    <t>Limburgerhof</t>
  </si>
  <si>
    <t>Mutterstadt</t>
  </si>
  <si>
    <t>Schifferstadt</t>
  </si>
  <si>
    <t>VG Dannstadt-Schauernheim</t>
  </si>
  <si>
    <t>VG Maxdorf</t>
  </si>
  <si>
    <t>VG Lambsheim-Heßheim</t>
  </si>
  <si>
    <t>VG Römerberg-Dudenhofen</t>
  </si>
  <si>
    <t>VG Rheinauen</t>
  </si>
  <si>
    <t>Frankenthal (Pfalz)</t>
  </si>
  <si>
    <t>Kaiserslautern</t>
  </si>
  <si>
    <t>Landau (Pfalz)</t>
  </si>
  <si>
    <t>Ludwigshafen/Rhein</t>
  </si>
  <si>
    <t>Neustadt/Weinstraße</t>
  </si>
  <si>
    <t>Pirmasens</t>
  </si>
  <si>
    <t>Speyer</t>
  </si>
  <si>
    <t>Worms</t>
  </si>
  <si>
    <t>Zweibrücken</t>
  </si>
  <si>
    <t>Abtsteinach</t>
  </si>
  <si>
    <t>Bensheim</t>
  </si>
  <si>
    <t>Biblis</t>
  </si>
  <si>
    <t>Birkenau</t>
  </si>
  <si>
    <t>Bürstadt</t>
  </si>
  <si>
    <t>Einhausen</t>
  </si>
  <si>
    <t>Fürth</t>
  </si>
  <si>
    <t>Gorxheimertal</t>
  </si>
  <si>
    <t>Grasellenbach</t>
  </si>
  <si>
    <t>Groß-Rohrheim</t>
  </si>
  <si>
    <t>Heppenheim (Bergstraße)</t>
  </si>
  <si>
    <t>Hirschhorn (Neckar)</t>
  </si>
  <si>
    <t>Lampertheim</t>
  </si>
  <si>
    <t>Lautertal (Odenwald)</t>
  </si>
  <si>
    <t>Lindenfels</t>
  </si>
  <si>
    <t>Lorsch</t>
  </si>
  <si>
    <t>Mörlenbach</t>
  </si>
  <si>
    <t>Neckarsteinach</t>
  </si>
  <si>
    <t>Rimbach</t>
  </si>
  <si>
    <t>Viernheim</t>
  </si>
  <si>
    <t>Wald-Michelbach</t>
  </si>
  <si>
    <t>Zwingenberg</t>
  </si>
  <si>
    <t>Creglingen</t>
  </si>
  <si>
    <t>Freudenberg</t>
  </si>
  <si>
    <t>Külsheim</t>
  </si>
  <si>
    <t>Niederstetten</t>
  </si>
  <si>
    <t>Weikersheim</t>
  </si>
  <si>
    <t>Wertheim</t>
  </si>
  <si>
    <t>Lauda-Königsheim</t>
  </si>
  <si>
    <t>VVG Bad Mergentheim</t>
  </si>
  <si>
    <t>VVG Boxberg</t>
  </si>
  <si>
    <t>VVG Grünsfeld</t>
  </si>
  <si>
    <t>VGG Tauberbischofsheim</t>
  </si>
  <si>
    <t>Buchen (Odenwald)</t>
  </si>
  <si>
    <t>Mudau</t>
  </si>
  <si>
    <t>GVV Hardheim-Walldürn</t>
  </si>
  <si>
    <t>VVG Haßmersheim</t>
  </si>
  <si>
    <t>GVV Kleiner Odenwald</t>
  </si>
  <si>
    <t>VVG Limbach</t>
  </si>
  <si>
    <t>VVG Mosbach</t>
  </si>
  <si>
    <t>GVV Neckargerach-Waldbrunn</t>
  </si>
  <si>
    <t>GVV Osterburken</t>
  </si>
  <si>
    <t>GVV Schlenztal</t>
  </si>
  <si>
    <t>GVV Seckachtal</t>
  </si>
  <si>
    <t>Brühl</t>
  </si>
  <si>
    <t>Dossenheim</t>
  </si>
  <si>
    <t>Eppelheim</t>
  </si>
  <si>
    <t>Heddesheim</t>
  </si>
  <si>
    <t>Ilvesheim</t>
  </si>
  <si>
    <t>Ketsch</t>
  </si>
  <si>
    <t>Ladenburg</t>
  </si>
  <si>
    <t>Leimen</t>
  </si>
  <si>
    <t>Nußloch</t>
  </si>
  <si>
    <t>Oftersheim</t>
  </si>
  <si>
    <t>Plankstadt</t>
  </si>
  <si>
    <t>Sandhausen</t>
  </si>
  <si>
    <t>Schriesheim</t>
  </si>
  <si>
    <t>Schwetzingen</t>
  </si>
  <si>
    <t>Walldorf</t>
  </si>
  <si>
    <t>Weinheim</t>
  </si>
  <si>
    <t>St. Leon-Rot</t>
  </si>
  <si>
    <t>Edingen-Neckarshausen</t>
  </si>
  <si>
    <t>Hirschberg an der Weinstraße</t>
  </si>
  <si>
    <t>VVG Eberbach</t>
  </si>
  <si>
    <t>GVV Elsenztal</t>
  </si>
  <si>
    <t>VVG Hemsbach</t>
  </si>
  <si>
    <t>VVG Hockenheim</t>
  </si>
  <si>
    <t>GVV Neckargemünd</t>
  </si>
  <si>
    <t>GVV Rauenberg</t>
  </si>
  <si>
    <t>GVV Schönau</t>
  </si>
  <si>
    <t>VVG Sinsheim</t>
  </si>
  <si>
    <t>GVV Waibstadt</t>
  </si>
  <si>
    <t>VVG Wiesloch</t>
  </si>
  <si>
    <t>Heidelberg</t>
  </si>
  <si>
    <t>Mannheim</t>
  </si>
  <si>
    <t>VRN-Gebiet RP</t>
  </si>
  <si>
    <t>VRN-Gebiet HE</t>
  </si>
  <si>
    <t>VRN-Gebiet BW</t>
  </si>
  <si>
    <t>Altenberge</t>
  </si>
  <si>
    <t>Emsdetten</t>
  </si>
  <si>
    <t>Grevel</t>
  </si>
  <si>
    <t>Hörstel</t>
  </si>
  <si>
    <t>Hopsten</t>
  </si>
  <si>
    <t>Horstmar</t>
  </si>
  <si>
    <t>Ibbenbüren</t>
  </si>
  <si>
    <t>Ladbergen</t>
  </si>
  <si>
    <t>Laer</t>
  </si>
  <si>
    <t>Lengerich</t>
  </si>
  <si>
    <t>Lienen</t>
  </si>
  <si>
    <t>Lotte</t>
  </si>
  <si>
    <t>Metelen</t>
  </si>
  <si>
    <t>Mettingen</t>
  </si>
  <si>
    <t>Neuenkirchen</t>
  </si>
  <si>
    <t>Nordwalde</t>
  </si>
  <si>
    <t>Ochtrup</t>
  </si>
  <si>
    <t>Recke</t>
  </si>
  <si>
    <t>Rheine</t>
  </si>
  <si>
    <t>Saerbeck</t>
  </si>
  <si>
    <t>Steinfurt</t>
  </si>
  <si>
    <t>Tecklenburg</t>
  </si>
  <si>
    <t>Westerkappeln</t>
  </si>
  <si>
    <t>Wettringen</t>
  </si>
  <si>
    <t>Ahlen</t>
  </si>
  <si>
    <t>Beckum</t>
  </si>
  <si>
    <t>Beelen</t>
  </si>
  <si>
    <t>Drensteinfurt</t>
  </si>
  <si>
    <t>Ennigerloh</t>
  </si>
  <si>
    <t>Everswinkel</t>
  </si>
  <si>
    <t>Oelde</t>
  </si>
  <si>
    <t>Ostbevern</t>
  </si>
  <si>
    <t>Sassenberg</t>
  </si>
  <si>
    <t>Sendenhorst</t>
  </si>
  <si>
    <t>Telgte</t>
  </si>
  <si>
    <t>Wadersloh</t>
  </si>
  <si>
    <t>Warendorf</t>
  </si>
  <si>
    <t>Ascheberg</t>
  </si>
  <si>
    <t>Billerbeck</t>
  </si>
  <si>
    <t>Coesfeld</t>
  </si>
  <si>
    <t>Dülmen</t>
  </si>
  <si>
    <t>Havixbeck</t>
  </si>
  <si>
    <t>Lüdinghausen</t>
  </si>
  <si>
    <t>Nordkirchen</t>
  </si>
  <si>
    <t>Nottuln</t>
  </si>
  <si>
    <t>Olfen</t>
  </si>
  <si>
    <t>Rosendahl</t>
  </si>
  <si>
    <t>Senden</t>
  </si>
  <si>
    <t>Ahaus</t>
  </si>
  <si>
    <t>Bocholt</t>
  </si>
  <si>
    <t>Borken</t>
  </si>
  <si>
    <t>Gescher</t>
  </si>
  <si>
    <t>Gronau (Westf.)</t>
  </si>
  <si>
    <t>Heek</t>
  </si>
  <si>
    <t>Heiden</t>
  </si>
  <si>
    <t>Isselburg</t>
  </si>
  <si>
    <t>Legden</t>
  </si>
  <si>
    <t>Raesfeld</t>
  </si>
  <si>
    <t>Reken</t>
  </si>
  <si>
    <t>Rhede</t>
  </si>
  <si>
    <t>Schöppingen</t>
  </si>
  <si>
    <t>Stadtlohn</t>
  </si>
  <si>
    <t>Südlohn</t>
  </si>
  <si>
    <t>Velen</t>
  </si>
  <si>
    <t>Vreden</t>
  </si>
  <si>
    <t>RVM-Gebiet</t>
  </si>
  <si>
    <t>Bergkamen</t>
  </si>
  <si>
    <t>Bönen</t>
  </si>
  <si>
    <t>Fröndenberg/Ruhr</t>
  </si>
  <si>
    <t>Holzwickede</t>
  </si>
  <si>
    <t>Kamen</t>
  </si>
  <si>
    <t>Lünen</t>
  </si>
  <si>
    <t>Schwerte</t>
  </si>
  <si>
    <t>Selm</t>
  </si>
  <si>
    <t>Unna</t>
  </si>
  <si>
    <t>Werne</t>
  </si>
  <si>
    <t>Anröchte</t>
  </si>
  <si>
    <t>Bad Sassendorf</t>
  </si>
  <si>
    <t>Ense</t>
  </si>
  <si>
    <t>Erwitte</t>
  </si>
  <si>
    <t>Geseke</t>
  </si>
  <si>
    <t>Lippetal</t>
  </si>
  <si>
    <t>Lippstadt</t>
  </si>
  <si>
    <t>Möhnesee</t>
  </si>
  <si>
    <t>Rüthen</t>
  </si>
  <si>
    <t>Soest</t>
  </si>
  <si>
    <t>Warstein</t>
  </si>
  <si>
    <t>Welver</t>
  </si>
  <si>
    <t>Werl</t>
  </si>
  <si>
    <t>Wickede (Ruhr)</t>
  </si>
  <si>
    <t>Arnsberg</t>
  </si>
  <si>
    <t>Bestwig</t>
  </si>
  <si>
    <t>Brilon</t>
  </si>
  <si>
    <t>Eslohe (Sauerland)</t>
  </si>
  <si>
    <t>Hallenberg</t>
  </si>
  <si>
    <t>Marsberg</t>
  </si>
  <si>
    <t>Medebach</t>
  </si>
  <si>
    <t>Meschede</t>
  </si>
  <si>
    <t>Olsberg</t>
  </si>
  <si>
    <t>Schmallenberg</t>
  </si>
  <si>
    <t>Sundern (Sauerland)</t>
  </si>
  <si>
    <t>Winterberg</t>
  </si>
  <si>
    <t>VG Beetzendorf-Diesdorf</t>
  </si>
  <si>
    <t>Arendsee (Altmark)</t>
  </si>
  <si>
    <t>Gardelegen</t>
  </si>
  <si>
    <t>Kalbe (Milde)</t>
  </si>
  <si>
    <t>Klötze</t>
  </si>
  <si>
    <t>Salzwedel</t>
  </si>
  <si>
    <t>Adorf/Vogtl.</t>
  </si>
  <si>
    <t>Auerbach/Vogtl.</t>
  </si>
  <si>
    <t>Bad Brambach</t>
  </si>
  <si>
    <t>Bad Elster</t>
  </si>
  <si>
    <t>Ellefeld</t>
  </si>
  <si>
    <t>Elsterberg</t>
  </si>
  <si>
    <t>Klingenthal</t>
  </si>
  <si>
    <t>Lengenfeld</t>
  </si>
  <si>
    <t>Markneukirchen</t>
  </si>
  <si>
    <t>Muldenhammer</t>
  </si>
  <si>
    <t>Neumark</t>
  </si>
  <si>
    <t>Pausa-Mühltroff</t>
  </si>
  <si>
    <t>Plauen</t>
  </si>
  <si>
    <t>Pöhl</t>
  </si>
  <si>
    <t>Rodewisch</t>
  </si>
  <si>
    <t>Rosenbach/Vogtl.</t>
  </si>
  <si>
    <t>Steinberg</t>
  </si>
  <si>
    <t>Weischlitz</t>
  </si>
  <si>
    <t>VG Falkenstein</t>
  </si>
  <si>
    <t>VG Netzschkau-Limbach</t>
  </si>
  <si>
    <t>VG Oelsnitz/Vogtl., Bösenbrunn, Eichigt und Triebel/Vogtl.</t>
  </si>
  <si>
    <t>VG Reichenbach im Vogtland</t>
  </si>
  <si>
    <t>VG Schöneck/Mühlental</t>
  </si>
  <si>
    <t>VG Trauen/Neuensalz</t>
  </si>
  <si>
    <t>VV Jägerswald</t>
  </si>
  <si>
    <t>Augustdorf</t>
  </si>
  <si>
    <t>Bad Salzuflen</t>
  </si>
  <si>
    <t>Barntrup</t>
  </si>
  <si>
    <t>Blomberg</t>
  </si>
  <si>
    <t>Detmold</t>
  </si>
  <si>
    <t>Dörentrup</t>
  </si>
  <si>
    <t>Extertal</t>
  </si>
  <si>
    <t>Horn-Bad Meinberg</t>
  </si>
  <si>
    <t>Kalletal</t>
  </si>
  <si>
    <t>Lage</t>
  </si>
  <si>
    <t>Lemgo</t>
  </si>
  <si>
    <t>Leopoldshöhe</t>
  </si>
  <si>
    <t>Lügde</t>
  </si>
  <si>
    <t>Oerlinghausen</t>
  </si>
  <si>
    <t>Schieder-Schwalenberg</t>
  </si>
  <si>
    <t>Schlangen</t>
  </si>
  <si>
    <t>Bad König</t>
  </si>
  <si>
    <t>Brensbach</t>
  </si>
  <si>
    <t>Breuberg</t>
  </si>
  <si>
    <t>Brombachtal</t>
  </si>
  <si>
    <t>Erbach</t>
  </si>
  <si>
    <t>Fränkisch-Crumbach</t>
  </si>
  <si>
    <t>Höchst i. Odw.</t>
  </si>
  <si>
    <t>Lützelbach</t>
  </si>
  <si>
    <t>Michelstadt</t>
  </si>
  <si>
    <t>Mossautal</t>
  </si>
  <si>
    <t>Reichelsheim (Odenwald)</t>
  </si>
  <si>
    <t>Oberzent</t>
  </si>
  <si>
    <t>Hamburg</t>
  </si>
  <si>
    <t>Glückstadt</t>
  </si>
  <si>
    <t>Itzehoe</t>
  </si>
  <si>
    <t>Wilster</t>
  </si>
  <si>
    <t>Amt Breitenburg</t>
  </si>
  <si>
    <t>Amt Horst-Herzhorn</t>
  </si>
  <si>
    <t>Amt Itzehoe-Land</t>
  </si>
  <si>
    <t>Amt Krempermarsch</t>
  </si>
  <si>
    <t>Amt Schenefeld</t>
  </si>
  <si>
    <t>Amt Wilstermarsch</t>
  </si>
  <si>
    <t>Amt Kellinghusen</t>
  </si>
  <si>
    <t>Barmstedt</t>
  </si>
  <si>
    <t>Bönningstedt</t>
  </si>
  <si>
    <t>Elmshorn</t>
  </si>
  <si>
    <t>Halstenbek</t>
  </si>
  <si>
    <t>Hasloh</t>
  </si>
  <si>
    <t>Helgoland</t>
  </si>
  <si>
    <t>Pinneberg</t>
  </si>
  <si>
    <t>Quickborn</t>
  </si>
  <si>
    <t>Rellingen</t>
  </si>
  <si>
    <t>Schenefeld</t>
  </si>
  <si>
    <t>Tornesch</t>
  </si>
  <si>
    <t>Uetersen</t>
  </si>
  <si>
    <t>Wedel</t>
  </si>
  <si>
    <t>Amt Elmshorn-Land</t>
  </si>
  <si>
    <t>Amt Hörnerkirchen</t>
  </si>
  <si>
    <t>Amt Rantzau</t>
  </si>
  <si>
    <t>Amt Pinnau</t>
  </si>
  <si>
    <t>Amt Geest und Marsch Südholstein</t>
  </si>
  <si>
    <t>Bad Bramstedt</t>
  </si>
  <si>
    <t>Bad Segeberg</t>
  </si>
  <si>
    <t>Ellerau</t>
  </si>
  <si>
    <t>Henstedt-Ulzburg</t>
  </si>
  <si>
    <t>Kaltenkirchen</t>
  </si>
  <si>
    <t>Norderstedt</t>
  </si>
  <si>
    <t>Wahlstedt</t>
  </si>
  <si>
    <t>Amt Bad Bramstedt-Land</t>
  </si>
  <si>
    <t>Amt Bornhöved</t>
  </si>
  <si>
    <t>Amt Itzstedt</t>
  </si>
  <si>
    <t>Amt Auenland Südholstein</t>
  </si>
  <si>
    <t>Amt Kisdorf</t>
  </si>
  <si>
    <t>Amt Leezen</t>
  </si>
  <si>
    <t>Amt Boostedt-Rickling</t>
  </si>
  <si>
    <t>Amt Tave-Land</t>
  </si>
  <si>
    <t>Ahrensburg</t>
  </si>
  <si>
    <t>Ammersbek</t>
  </si>
  <si>
    <t>Bad Oldesloe</t>
  </si>
  <si>
    <t>Bargteheide</t>
  </si>
  <si>
    <t>Barsbüttel</t>
  </si>
  <si>
    <t>Glinde</t>
  </si>
  <si>
    <t>Großhansdorf</t>
  </si>
  <si>
    <t>Oststeinbek</t>
  </si>
  <si>
    <t>Reinbek</t>
  </si>
  <si>
    <t>Reinfeld (Holstein)</t>
  </si>
  <si>
    <t>Tangstedt</t>
  </si>
  <si>
    <t>Amt Bad Oldesloe-Land</t>
  </si>
  <si>
    <t>Amt Bargteheide-Land</t>
  </si>
  <si>
    <t>Amt Nordstorman</t>
  </si>
  <si>
    <t>Amt Siek</t>
  </si>
  <si>
    <t>Amt Trittau</t>
  </si>
  <si>
    <t>Geesthacht</t>
  </si>
  <si>
    <t>Lauenburg/Elbe</t>
  </si>
  <si>
    <t>Mölln</t>
  </si>
  <si>
    <t>Ratzeburg</t>
  </si>
  <si>
    <t>Schwarzenbek</t>
  </si>
  <si>
    <t>Wentdorf bei Hamburg</t>
  </si>
  <si>
    <t>Amt Berkenthin</t>
  </si>
  <si>
    <t>Amt Breitenfelde</t>
  </si>
  <si>
    <t>Amt Büchen</t>
  </si>
  <si>
    <t>Amt Hohe Elbgeest</t>
  </si>
  <si>
    <t>Amt Lütau</t>
  </si>
  <si>
    <t>Amt Lauenburgische Seen</t>
  </si>
  <si>
    <t>Amt Schwarzenbek-Land</t>
  </si>
  <si>
    <t>Amt Sandesneben-Nusse</t>
  </si>
  <si>
    <t>Buxtehude</t>
  </si>
  <si>
    <t>Drochtersen</t>
  </si>
  <si>
    <t>Jork</t>
  </si>
  <si>
    <t>Stade</t>
  </si>
  <si>
    <t>SG Apensen</t>
  </si>
  <si>
    <t>SG Fredenbeck</t>
  </si>
  <si>
    <t>SG Harsefeld</t>
  </si>
  <si>
    <t>SG Horneburg</t>
  </si>
  <si>
    <t>SG Lühe</t>
  </si>
  <si>
    <t>SG Nordkehdingen</t>
  </si>
  <si>
    <t>SG Oldendorf-Himmelpforten</t>
  </si>
  <si>
    <t>Buchholz in der Nordheide</t>
  </si>
  <si>
    <t>Neu Wulmstorf</t>
  </si>
  <si>
    <t>Rosengarten</t>
  </si>
  <si>
    <t>Seevetal</t>
  </si>
  <si>
    <t>Stelle</t>
  </si>
  <si>
    <t>Winsen (Luhe)</t>
  </si>
  <si>
    <t>SG Elbmarsch</t>
  </si>
  <si>
    <t>SG Hanstedt</t>
  </si>
  <si>
    <t>SG Hollenstedt</t>
  </si>
  <si>
    <t>SG Jesteburg</t>
  </si>
  <si>
    <t>SG Salzhausen</t>
  </si>
  <si>
    <t>SG Tostedt</t>
  </si>
  <si>
    <t>Adendorf</t>
  </si>
  <si>
    <t>Bleckede</t>
  </si>
  <si>
    <t>Lüneburg</t>
  </si>
  <si>
    <t>Amt Neuhaus</t>
  </si>
  <si>
    <t>SG Amelinghausen</t>
  </si>
  <si>
    <t>SG Bardowick</t>
  </si>
  <si>
    <t>SG Dahlenburg</t>
  </si>
  <si>
    <t>SG Gellersen</t>
  </si>
  <si>
    <t>SG Ilmenau</t>
  </si>
  <si>
    <t>SG Ostheide</t>
  </si>
  <si>
    <t>SG Scharnebeck</t>
  </si>
  <si>
    <t>Flensburg</t>
  </si>
  <si>
    <t>Kiel</t>
  </si>
  <si>
    <t>Lübeck</t>
  </si>
  <si>
    <t>Neumünster</t>
  </si>
  <si>
    <t>Brunsbüttel</t>
  </si>
  <si>
    <t>Heide</t>
  </si>
  <si>
    <t>Amt Burg-St. Michaelisdonn</t>
  </si>
  <si>
    <t>Amt Marne-Nordsee</t>
  </si>
  <si>
    <t>KLG Eider</t>
  </si>
  <si>
    <t>KLG Heider Umland</t>
  </si>
  <si>
    <t>Amt Mitteldithmarschen</t>
  </si>
  <si>
    <t>Amt Büsum-Wesselburen</t>
  </si>
  <si>
    <t>Friedrichstadt</t>
  </si>
  <si>
    <t>Husum</t>
  </si>
  <si>
    <t>Reußenköge</t>
  </si>
  <si>
    <t>Tönning</t>
  </si>
  <si>
    <t>Sylt</t>
  </si>
  <si>
    <t>Amt Eiderstedt</t>
  </si>
  <si>
    <t>Amt Landschaft Sylt</t>
  </si>
  <si>
    <t>Amt Viöl</t>
  </si>
  <si>
    <t>Amt Pellworm</t>
  </si>
  <si>
    <t>Amt Föhr-Amrum</t>
  </si>
  <si>
    <t>Amt Südtondern</t>
  </si>
  <si>
    <t>Amt Nordsee-Treene</t>
  </si>
  <si>
    <t>Amt Mittleres Nordfiresland</t>
  </si>
  <si>
    <t>Ahrensbök</t>
  </si>
  <si>
    <t>Bad Schwartau</t>
  </si>
  <si>
    <t>Bosau</t>
  </si>
  <si>
    <t>Dahme</t>
  </si>
  <si>
    <t>Eutin</t>
  </si>
  <si>
    <t>Grömitz</t>
  </si>
  <si>
    <t>Grube</t>
  </si>
  <si>
    <t>Heiligenhafen</t>
  </si>
  <si>
    <t>Kellenhusen (Ostsee)</t>
  </si>
  <si>
    <t>Malente</t>
  </si>
  <si>
    <t>Neustadt in Holstein</t>
  </si>
  <si>
    <t>Oldenburg in Holstein</t>
  </si>
  <si>
    <t>Ratekau</t>
  </si>
  <si>
    <t>Stockelsdorf</t>
  </si>
  <si>
    <t>Süsel</t>
  </si>
  <si>
    <t>Timmendorfer Strand</t>
  </si>
  <si>
    <t>Scharbeutz</t>
  </si>
  <si>
    <t>Fehmarn</t>
  </si>
  <si>
    <t>Amt Oldenburg-Land</t>
  </si>
  <si>
    <t>Amt Lensahn</t>
  </si>
  <si>
    <t>Amt Ostholstein-Mitte</t>
  </si>
  <si>
    <t>Ascheberg (Holstein)</t>
  </si>
  <si>
    <t>Bönebüttel</t>
  </si>
  <si>
    <t>Bösdorf</t>
  </si>
  <si>
    <t>Plön</t>
  </si>
  <si>
    <t>Preetz</t>
  </si>
  <si>
    <t>Schwentinental</t>
  </si>
  <si>
    <t>Amt Lütjenburg</t>
  </si>
  <si>
    <t>Amt Großer Plöner See</t>
  </si>
  <si>
    <t>Amt Preetz-Land</t>
  </si>
  <si>
    <t>Amt Probstei</t>
  </si>
  <si>
    <t>Amt Selent/Schlesen</t>
  </si>
  <si>
    <t>Amt Schrevenborn</t>
  </si>
  <si>
    <t>Amt Bockhorst-Wankendorf</t>
  </si>
  <si>
    <t>Altenholz</t>
  </si>
  <si>
    <t>Büdelsdorf</t>
  </si>
  <si>
    <t>Eckernförde</t>
  </si>
  <si>
    <t>Kronshagen</t>
  </si>
  <si>
    <t>Rendsburg</t>
  </si>
  <si>
    <t>Wasbek</t>
  </si>
  <si>
    <t>Amt Achterwehr</t>
  </si>
  <si>
    <t>Amt Dänischenhagen</t>
  </si>
  <si>
    <t>Amt Dänischer Wohld</t>
  </si>
  <si>
    <t>Amt Flintbek (veraltet)</t>
  </si>
  <si>
    <t>Amt Fockbeck</t>
  </si>
  <si>
    <t>Amt Hohner Harde</t>
  </si>
  <si>
    <t>Amt Jevenstedt</t>
  </si>
  <si>
    <t>Amt Molfsee (veraltet)</t>
  </si>
  <si>
    <t>Amt Nortofer Land</t>
  </si>
  <si>
    <t>Amt Eiderkanal</t>
  </si>
  <si>
    <t>Amt Bordesholm</t>
  </si>
  <si>
    <t>Amt Hüttener Berge</t>
  </si>
  <si>
    <t>Amt Schlei-Ostsee</t>
  </si>
  <si>
    <t>Amt Mittelholstein</t>
  </si>
  <si>
    <t>Kappeln</t>
  </si>
  <si>
    <t>Schleswig</t>
  </si>
  <si>
    <t>Glücksburg (Ostsee)</t>
  </si>
  <si>
    <t>Harrislee</t>
  </si>
  <si>
    <t>Handewitt</t>
  </si>
  <si>
    <t>Amt Eggebek</t>
  </si>
  <si>
    <t>Amt Haddeby</t>
  </si>
  <si>
    <t>Amt Hürup</t>
  </si>
  <si>
    <t>Amt Kappeln-Land</t>
  </si>
  <si>
    <t>Amt Langballig</t>
  </si>
  <si>
    <t>Amt Oeversee</t>
  </si>
  <si>
    <t>Amt Mittelangeln</t>
  </si>
  <si>
    <t>Amt Schafflund</t>
  </si>
  <si>
    <t>Amt Süderbrarup</t>
  </si>
  <si>
    <t>Amt Südangeln</t>
  </si>
  <si>
    <t>Amt Geltinger Bucht</t>
  </si>
  <si>
    <t>Amt Arensharde</t>
  </si>
  <si>
    <t>Amt Kropp-Stapelholm</t>
  </si>
  <si>
    <t>Saarbrücken</t>
  </si>
  <si>
    <t>Friedrichsthal</t>
  </si>
  <si>
    <t>Großrosseln</t>
  </si>
  <si>
    <t>Heusweiler</t>
  </si>
  <si>
    <t>Kleinblittersdorf</t>
  </si>
  <si>
    <t>Püttlingen</t>
  </si>
  <si>
    <t>Quierschied</t>
  </si>
  <si>
    <t>Riegelsberg</t>
  </si>
  <si>
    <t>Sulzbach/Saar</t>
  </si>
  <si>
    <t>Völklingen</t>
  </si>
  <si>
    <t>Beckingen</t>
  </si>
  <si>
    <t>Losheim am See</t>
  </si>
  <si>
    <t>Merzig</t>
  </si>
  <si>
    <t>Mettlach</t>
  </si>
  <si>
    <t>Perl</t>
  </si>
  <si>
    <t>Wadern</t>
  </si>
  <si>
    <t>Weiskirchen</t>
  </si>
  <si>
    <t>Eppelborn</t>
  </si>
  <si>
    <t>Illingen</t>
  </si>
  <si>
    <t>Merchweiler</t>
  </si>
  <si>
    <t>Neunkirchen</t>
  </si>
  <si>
    <t>Ottweiler</t>
  </si>
  <si>
    <t>Schiffweiler</t>
  </si>
  <si>
    <t>Spiesen-Elversberg</t>
  </si>
  <si>
    <t>Dillingen/Saar</t>
  </si>
  <si>
    <t>Lebach</t>
  </si>
  <si>
    <t>Nalbach</t>
  </si>
  <si>
    <t>Rehlingen-Siersburg</t>
  </si>
  <si>
    <t>Saarlouis</t>
  </si>
  <si>
    <t>Saarwellingen</t>
  </si>
  <si>
    <t>Schmelz</t>
  </si>
  <si>
    <t>Schwalbach</t>
  </si>
  <si>
    <t>Überherrn</t>
  </si>
  <si>
    <t>Wadgassen</t>
  </si>
  <si>
    <t>Wallerfangen</t>
  </si>
  <si>
    <t>Bous</t>
  </si>
  <si>
    <t>Ensdorf</t>
  </si>
  <si>
    <t>Bexbach</t>
  </si>
  <si>
    <t>Blieskastel</t>
  </si>
  <si>
    <t>Gersheim</t>
  </si>
  <si>
    <t>Homburg</t>
  </si>
  <si>
    <t>Kirkel</t>
  </si>
  <si>
    <t>Mandelbachtal</t>
  </si>
  <si>
    <t>St. Ingbert</t>
  </si>
  <si>
    <t>Freisen</t>
  </si>
  <si>
    <t>Marpingen</t>
  </si>
  <si>
    <t>Namborn</t>
  </si>
  <si>
    <t>Nohfelden</t>
  </si>
  <si>
    <t>Nonnweiler</t>
  </si>
  <si>
    <t>Oberthal</t>
  </si>
  <si>
    <t>St. Wendel</t>
  </si>
  <si>
    <t>Tholey</t>
  </si>
  <si>
    <t>Reisezeitverhältnis</t>
  </si>
  <si>
    <t>Wohnbevölkerung</t>
  </si>
  <si>
    <t>Bevölkerungsanteil am Gesamtgebiet</t>
  </si>
  <si>
    <t>Reisezeit [min] zum nächsten MZ/OZ mit dem Pkw</t>
  </si>
  <si>
    <t>Reisezeit [min] zum nächsten MZ/OZ mit dem ÖV</t>
  </si>
  <si>
    <t>VG Nordpfälzer Land</t>
  </si>
  <si>
    <t>Umsteigehäufigkeit</t>
  </si>
  <si>
    <t>von Hst</t>
  </si>
  <si>
    <t>nach Hst</t>
  </si>
  <si>
    <t>Abfahrtszeit</t>
  </si>
  <si>
    <t>Auskunft von</t>
  </si>
  <si>
    <t>Recherche-Datum</t>
  </si>
  <si>
    <t>Wartezeit</t>
  </si>
  <si>
    <t>Öhringen - Pfedelbach</t>
  </si>
  <si>
    <t>Öhringen, Hauptbahnhof</t>
  </si>
  <si>
    <t>Pfedelbach, Schloß</t>
  </si>
  <si>
    <t>Öhringen - Bretzfeld</t>
  </si>
  <si>
    <t>Bretzfeld, Mitte</t>
  </si>
  <si>
    <t>Künzelsau - Ingelfingen</t>
  </si>
  <si>
    <t>Künzelsau, Landratsamt</t>
  </si>
  <si>
    <t>Ingelfingen, Rose</t>
  </si>
  <si>
    <t>Öhringen - Neuenstein</t>
  </si>
  <si>
    <t>Neuenstein (Württ), Schloß</t>
  </si>
  <si>
    <t>Künzelsau - Kupferzell</t>
  </si>
  <si>
    <t>Kupferzell, Untere Vorstadt</t>
  </si>
  <si>
    <t>Künzelsau - Öhringen</t>
  </si>
  <si>
    <t>Künzelsau - Waldenburg</t>
  </si>
  <si>
    <t>Waldenburg, Rathaus</t>
  </si>
  <si>
    <t>Öhringen - Waldenburg</t>
  </si>
  <si>
    <t>Künzelsau - Neuenstein</t>
  </si>
  <si>
    <t>Bretzfeld - Pfedelbach</t>
  </si>
  <si>
    <t>Freudenstadt - Baiersbronn</t>
  </si>
  <si>
    <t>Freudenstadt, Marktplatz</t>
  </si>
  <si>
    <t>Baiersbronn, Bahnhof</t>
  </si>
  <si>
    <t>Freudenstadt - Dornstetten</t>
  </si>
  <si>
    <t>Dornstetten (Württ), Sulzer Straße</t>
  </si>
  <si>
    <t>Freudenstadt - Loßburg</t>
  </si>
  <si>
    <t>Loßburg-Rodt, ZOB</t>
  </si>
  <si>
    <t>Freudenstadt - Horb</t>
  </si>
  <si>
    <t>Horb am Neckar, Dörr</t>
  </si>
  <si>
    <t>Horb - Empfingen</t>
  </si>
  <si>
    <t>Empfingen, Vereinsheim</t>
  </si>
  <si>
    <t>Freudenstadt - Glatten</t>
  </si>
  <si>
    <t>Glatten, Ortsmitte</t>
  </si>
  <si>
    <t>Horb - Eutingen</t>
  </si>
  <si>
    <t>Eutingen im Gäu, Ortsmitte</t>
  </si>
  <si>
    <t>Horb - Waldachtal</t>
  </si>
  <si>
    <t>Salzstetten, Engel</t>
  </si>
  <si>
    <t>Freudenstadt - Pfalzgrafenweiler</t>
  </si>
  <si>
    <t>Pfalzgrafenweiler, Rathaus</t>
  </si>
  <si>
    <t>Horb - Schopfloch</t>
  </si>
  <si>
    <t>Schopfloch (b Freud), Rathaus</t>
  </si>
  <si>
    <t>RV - Weingarten</t>
  </si>
  <si>
    <t>Ravensburg, Marienplatz</t>
  </si>
  <si>
    <t>Weingarten (Württ), Löwenplatz</t>
  </si>
  <si>
    <t>RV - Bad Waldsee</t>
  </si>
  <si>
    <t>Bad Waldsee, Bleiche/Vötschenturm</t>
  </si>
  <si>
    <t>RV - Baienfurt</t>
  </si>
  <si>
    <t>Baienfurt, Feuerwehrhaus</t>
  </si>
  <si>
    <t>RV - Wangen i.A.</t>
  </si>
  <si>
    <t>Wangen (Allgäu), Saumarkt</t>
  </si>
  <si>
    <t>RV - Berg</t>
  </si>
  <si>
    <t>Berg (Kr Ravensburg), Brunnenplatz</t>
  </si>
  <si>
    <t>RV - Horgenzell</t>
  </si>
  <si>
    <t>Horgenzell, Kornstraße</t>
  </si>
  <si>
    <t>RV - Baindt</t>
  </si>
  <si>
    <t>Baindt, Rathaus</t>
  </si>
  <si>
    <t>Weingarten - Bad Waldsee</t>
  </si>
  <si>
    <t>Weingarten - Baienfurt</t>
  </si>
  <si>
    <t>Weingarten - Baindt</t>
  </si>
  <si>
    <t>Mannheim - Ludwigshafen</t>
  </si>
  <si>
    <t>Mannheim, Marktplatz</t>
  </si>
  <si>
    <t>Ludwigshafen (Rhein), Südwest-Stadion</t>
  </si>
  <si>
    <t>Mannheim - Heidelberg</t>
  </si>
  <si>
    <t>Heidelberg, Bismarckplatz</t>
  </si>
  <si>
    <t>Mannheim - Viernheim</t>
  </si>
  <si>
    <t>Viernheim, Rathausstraße</t>
  </si>
  <si>
    <t>Mannheim - Weinheim</t>
  </si>
  <si>
    <t>Weinheim, Hermannshof</t>
  </si>
  <si>
    <t>Kaiserslautern - Otterbach-Otterberg</t>
  </si>
  <si>
    <t>Kaiserslautern, Stadtmitte</t>
  </si>
  <si>
    <t>Otterberg, Stadtmitte</t>
  </si>
  <si>
    <t>Heidelberg - Leimen</t>
  </si>
  <si>
    <t>Leimen (Baden), Rathaus</t>
  </si>
  <si>
    <t>Kaiserslautern - Landstuhl</t>
  </si>
  <si>
    <t>Landstuhl, Stadthalle</t>
  </si>
  <si>
    <t>Mannheim - Lampertheim</t>
  </si>
  <si>
    <t>Lampertheim (Bergstraße), Rathaus</t>
  </si>
  <si>
    <t>Heidelberg - Eppelheim</t>
  </si>
  <si>
    <t>Eppelheim, Rathaus</t>
  </si>
  <si>
    <t>Heidelberg - Wiesloch</t>
  </si>
  <si>
    <t>Wiesloch, Schillerpark</t>
  </si>
  <si>
    <t>Bocholt - Rhede</t>
  </si>
  <si>
    <t>Bocholt, Bustreff</t>
  </si>
  <si>
    <t>Rhede, Gugulakirche</t>
  </si>
  <si>
    <t>Arnsberg - Sundern (Sauerland)</t>
  </si>
  <si>
    <t>Arnsberg, Europaplatz</t>
  </si>
  <si>
    <t>Sundern, Rathaus</t>
  </si>
  <si>
    <t>Unna - Kamen</t>
  </si>
  <si>
    <t>Unna, Rathaus</t>
  </si>
  <si>
    <t>Kamen, Markt</t>
  </si>
  <si>
    <t>Lippstadt - Erwitte</t>
  </si>
  <si>
    <t>Lippstadt, Poststraße</t>
  </si>
  <si>
    <t>Erwitte, B1/Am Markt</t>
  </si>
  <si>
    <t>Kamen - Bergkamen</t>
  </si>
  <si>
    <t>Bergkamen, Busbhanhof</t>
  </si>
  <si>
    <t>Arnsberg - Meschede</t>
  </si>
  <si>
    <t>Meschede, Post</t>
  </si>
  <si>
    <t>Greven - Emsdetten</t>
  </si>
  <si>
    <t>Gronau (Westf.) - Ahaus</t>
  </si>
  <si>
    <t>Gronau, Bahnhof</t>
  </si>
  <si>
    <t>Ahaus, Marienplatz</t>
  </si>
  <si>
    <t>Ahaus - Vreden</t>
  </si>
  <si>
    <t>Vreden, Busbahnhof</t>
  </si>
  <si>
    <t>Ahlen - Beckum</t>
  </si>
  <si>
    <t>Ahlen, Rathaus</t>
  </si>
  <si>
    <t>Beckum, Markt</t>
  </si>
  <si>
    <t>Ibbenbüren - Hörstel</t>
  </si>
  <si>
    <t>Ibbenbüren, Rathaus</t>
  </si>
  <si>
    <t>Hörstel, Marktplatz</t>
  </si>
  <si>
    <t>Emsdetten - Rheine</t>
  </si>
  <si>
    <t>Emsdetten, Rathaus</t>
  </si>
  <si>
    <t>Rheine, Bustreff</t>
  </si>
  <si>
    <t>Coesfeld - Dülmen</t>
  </si>
  <si>
    <t>Coesfeld, Bahnhof</t>
  </si>
  <si>
    <t>Dülmen, Charleville-Mézières-Platz</t>
  </si>
  <si>
    <t>Bocholt - Isselburg</t>
  </si>
  <si>
    <t>Isselburg, Markt</t>
  </si>
  <si>
    <t>Bocholt - Borken</t>
  </si>
  <si>
    <t>Borken, Markt</t>
  </si>
  <si>
    <t>Salzwedel - Arendsee (Altmark)</t>
  </si>
  <si>
    <t>Salzwedel, Rathausturm</t>
  </si>
  <si>
    <t>Arendsee, Bahnhofstr.</t>
  </si>
  <si>
    <t>Salzwedel - Gardelegen</t>
  </si>
  <si>
    <t>Gardelegen, Sandstr.</t>
  </si>
  <si>
    <t>Gardelegen - Kalbe (Milde)</t>
  </si>
  <si>
    <t>Kalbe, Bahnhofsstraße</t>
  </si>
  <si>
    <t>Gardelegen - Klötze</t>
  </si>
  <si>
    <t>Klötze, ZOB</t>
  </si>
  <si>
    <t>Salzwedel - Kalbe (Milde)</t>
  </si>
  <si>
    <t>Salzwedel - Klötze</t>
  </si>
  <si>
    <t>Gardelegen - Bismark (Altmark)</t>
  </si>
  <si>
    <t>Bismark, Karl-Marx-Straße</t>
  </si>
  <si>
    <t>Salzwedel - Apenburg-Winterfeld</t>
  </si>
  <si>
    <t>Apenburg, Ort</t>
  </si>
  <si>
    <t>Salzwedel - Beetzendorf</t>
  </si>
  <si>
    <t>Beetzendorf, ZOB</t>
  </si>
  <si>
    <t>Salzwedel - Kuhfelde</t>
  </si>
  <si>
    <t>Kuhfelde, B248</t>
  </si>
  <si>
    <t>Plauen - Oelsnitz/Vogtl.</t>
  </si>
  <si>
    <t>Plauen, Neues Rathaus</t>
  </si>
  <si>
    <t>Oelsnitz, Markt</t>
  </si>
  <si>
    <t>Plauen - Weischlitz</t>
  </si>
  <si>
    <t>Weischlitz, Bahnhof</t>
  </si>
  <si>
    <t>Auerbach/Vogtl. - Rodewisch</t>
  </si>
  <si>
    <t>Auerbach, Altmarkt</t>
  </si>
  <si>
    <t>Rodewisch, Busbahnhof</t>
  </si>
  <si>
    <t>Plauen - Treuen</t>
  </si>
  <si>
    <t>Treuen, Rathaus</t>
  </si>
  <si>
    <t>Plauen - Rosenbach/Vogtl.</t>
  </si>
  <si>
    <t>Mehltheuer, Bahnhof</t>
  </si>
  <si>
    <t>Auerbach/Vogtl. - Falkenstein/Vogtl.</t>
  </si>
  <si>
    <t>Falkenstein, Hauptstraße</t>
  </si>
  <si>
    <t>Auerbach/Vogtl. - Treuen</t>
  </si>
  <si>
    <t>Reichenbach im Vogtland - Heinsdorfergrund</t>
  </si>
  <si>
    <t>Reichenbach, Postplatz</t>
  </si>
  <si>
    <t>Unterheinsdorf, Gasthof Herfurt</t>
  </si>
  <si>
    <t>Plauen - Auerbach/Vogtl.</t>
  </si>
  <si>
    <t>Plauen - Reichenbach im Vogtland</t>
  </si>
  <si>
    <t>Detmold - Lemgo</t>
  </si>
  <si>
    <t>Rosental, Detmold</t>
  </si>
  <si>
    <t>Finanzamt, Lemgo</t>
  </si>
  <si>
    <t>Detmold - Lage</t>
  </si>
  <si>
    <t>Eichenallee, Lage</t>
  </si>
  <si>
    <t>Detmold - Horn-Bad Meinberg</t>
  </si>
  <si>
    <t>Zentrum, Horn (Lippe)</t>
  </si>
  <si>
    <t>Lemgo - Bad Salzuflen</t>
  </si>
  <si>
    <t>Am Markt, Bad Salzuflen</t>
  </si>
  <si>
    <t>Detmold - Blomberg</t>
  </si>
  <si>
    <t>Heutorstraße, Blomberg</t>
  </si>
  <si>
    <t>Detmold - Bad Salzuflen</t>
  </si>
  <si>
    <t>Lemgo - Lage</t>
  </si>
  <si>
    <t>Detmold - Augustdorf</t>
  </si>
  <si>
    <t>Rathaus, Augustdorf</t>
  </si>
  <si>
    <t>Lemgo - Kalletal</t>
  </si>
  <si>
    <t>Ortsmitte Hohenhausen, Hohenhausen</t>
  </si>
  <si>
    <t>Bad Salzuflen - Leopoldshöhe</t>
  </si>
  <si>
    <t>Markt, Leopoldshöhe</t>
  </si>
  <si>
    <t>Michelstadt - Erbach</t>
  </si>
  <si>
    <t>Michelstadt Bienenmarkt</t>
  </si>
  <si>
    <t>Erbach Schloß</t>
  </si>
  <si>
    <t>Breuberg - Höchst i.O.</t>
  </si>
  <si>
    <t>Breuberg-Sandbach Tiergarten</t>
  </si>
  <si>
    <t>Höchst Wilhelminenstraße</t>
  </si>
  <si>
    <t>Michelstadt - Bad König</t>
  </si>
  <si>
    <t>Bad König Kimbacher Straße</t>
  </si>
  <si>
    <t>Erbach - Oberzent</t>
  </si>
  <si>
    <t>Oberzent-Beerfelden Markt</t>
  </si>
  <si>
    <t>Erbach - Bad König</t>
  </si>
  <si>
    <t>Michelstadt - Breuberg</t>
  </si>
  <si>
    <t>Erbach - Breuberg</t>
  </si>
  <si>
    <t>Michelstadt - Oberzent</t>
  </si>
  <si>
    <t>Michelstadt - Höchst i.O.</t>
  </si>
  <si>
    <t>Erbach - Höchst i.O.</t>
  </si>
  <si>
    <t>HH - Norderstedt</t>
  </si>
  <si>
    <t>Rathaus/Rathausmarkt</t>
  </si>
  <si>
    <t>Norderstedt Mitte</t>
  </si>
  <si>
    <t>HH - Seevetal</t>
  </si>
  <si>
    <t>Hittfeld, Kirche</t>
  </si>
  <si>
    <t>HH - Pinneberg</t>
  </si>
  <si>
    <t>Pinneberg, Bismarckstraße</t>
  </si>
  <si>
    <t>HH - Reinbek</t>
  </si>
  <si>
    <t>Reinbek, Landhausplatz</t>
  </si>
  <si>
    <t>HH - Ahrensburg</t>
  </si>
  <si>
    <t>Ahrensburg, Rathaus</t>
  </si>
  <si>
    <t>HH - Wedel</t>
  </si>
  <si>
    <t>HH - Buchholz i.N.</t>
  </si>
  <si>
    <t>Buchholz, Krankenhaus</t>
  </si>
  <si>
    <t>HH - Buxtehude</t>
  </si>
  <si>
    <t>Buxtehude, ZOB</t>
  </si>
  <si>
    <t>HH - Neu Wulmstorf</t>
  </si>
  <si>
    <t>Neu Wulmstorf, Rathaus</t>
  </si>
  <si>
    <t>HH - Glinde</t>
  </si>
  <si>
    <t>Glinde, Markt</t>
  </si>
  <si>
    <t>Lübeck - Bad Schwartau</t>
  </si>
  <si>
    <t>Lübeck, Kohlmarkt</t>
  </si>
  <si>
    <t>Bad Schwartau, Markt</t>
  </si>
  <si>
    <t>Kiel - Schrevenborn</t>
  </si>
  <si>
    <t>Kiel, Rathaus/Opernhaus</t>
  </si>
  <si>
    <t>Heikendorf, Rathaus</t>
  </si>
  <si>
    <t>Lübeck - Stockelsdorf</t>
  </si>
  <si>
    <t>Stockelsdorf, Rathausmarkt</t>
  </si>
  <si>
    <t>Kiel - Schwentinental</t>
  </si>
  <si>
    <t>Raisdorf, Rathaus</t>
  </si>
  <si>
    <t>Kiel - Neumünster</t>
  </si>
  <si>
    <t>Neumünster, Rathaus</t>
  </si>
  <si>
    <t>Kiel - Kronshagen</t>
  </si>
  <si>
    <t>Kronshagen, Rathaus</t>
  </si>
  <si>
    <t>Husum - Nordsee-Treene</t>
  </si>
  <si>
    <t>Husum, Marktplatz</t>
  </si>
  <si>
    <t>Mildstedt, Turnhalle</t>
  </si>
  <si>
    <t>Flensburg - Handewitt</t>
  </si>
  <si>
    <t>Flensburg, Rathaus</t>
  </si>
  <si>
    <t>Handewirr, Amt</t>
  </si>
  <si>
    <t>Kiel - Dänischer Wohld</t>
  </si>
  <si>
    <t>Gettorf, Bahnhof</t>
  </si>
  <si>
    <t>Kiel - Probstei</t>
  </si>
  <si>
    <t>Schönberg (Holst), Hühnerbek</t>
  </si>
  <si>
    <t>Saarbrücken - Völklingen</t>
  </si>
  <si>
    <t>Saarbrücken, Rathaus</t>
  </si>
  <si>
    <t>Altes Rathaus Völklingen</t>
  </si>
  <si>
    <t>Altes Rathaus Vökingen</t>
  </si>
  <si>
    <t>Saarbrücken - St. Ingbert</t>
  </si>
  <si>
    <t>Saarbrücken, Rathaus St. Johann</t>
  </si>
  <si>
    <t>Rendezvous-Platz, St. Ingbert</t>
  </si>
  <si>
    <t>Saarbrücken - Neunkirchen</t>
  </si>
  <si>
    <t>Oberer Markt, Neunkirchen</t>
  </si>
  <si>
    <t>Saarbrücken - Sulzbach/Saar</t>
  </si>
  <si>
    <t>Bahnhofstr. Sulzbach (Saar)</t>
  </si>
  <si>
    <t>Saarbrücken - Saarlouis</t>
  </si>
  <si>
    <t>ZOB kleiner Markt, Saarlouis</t>
  </si>
  <si>
    <t>Saarbrücken - Kleinblittersdorf</t>
  </si>
  <si>
    <t>Kleinblittersdorf, Bf</t>
  </si>
  <si>
    <t>Saarbrücken - Püttlingen</t>
  </si>
  <si>
    <t>Püttlingen, ZOB</t>
  </si>
  <si>
    <t>Saarbrücken - Riegelsberg</t>
  </si>
  <si>
    <t>Rathaus,Riegelsberg</t>
  </si>
  <si>
    <t>Saarlouis - Dillingen/Saar</t>
  </si>
  <si>
    <t>Bahnhof, Dillingen</t>
  </si>
  <si>
    <t>Saarbrücken - Homburg</t>
  </si>
  <si>
    <t>Christian Weber Platz Homburg</t>
  </si>
  <si>
    <t>x</t>
  </si>
  <si>
    <t>ehem. Alsenz-Obermoschel</t>
  </si>
  <si>
    <t>ehem. Rockenhausen</t>
  </si>
  <si>
    <t>Alsenz</t>
  </si>
  <si>
    <t>Bayerfeld-Steckweiler</t>
  </si>
  <si>
    <t>Bisterschied</t>
  </si>
  <si>
    <t>Dielkirchen</t>
  </si>
  <si>
    <t>Dörrmoschel</t>
  </si>
  <si>
    <t>Finkenbach-Gersweiler</t>
  </si>
  <si>
    <t>Gaugrehweiler</t>
  </si>
  <si>
    <t>Gehrweiler</t>
  </si>
  <si>
    <t>Gerbach</t>
  </si>
  <si>
    <t>Gundersweiler</t>
  </si>
  <si>
    <t>Imsweiler</t>
  </si>
  <si>
    <t>Kalkofen</t>
  </si>
  <si>
    <t>Katzenbach</t>
  </si>
  <si>
    <t>Mannweiler-Cölln</t>
  </si>
  <si>
    <t>Münsterappel</t>
  </si>
  <si>
    <t>Niederhausen an der Appel</t>
  </si>
  <si>
    <t>Niedermoschel</t>
  </si>
  <si>
    <t>Oberhausen an der Appel</t>
  </si>
  <si>
    <t>Obermoschel, Stadt</t>
  </si>
  <si>
    <t>Oberndorf</t>
  </si>
  <si>
    <t>Ransweiler</t>
  </si>
  <si>
    <t>Ruppertsecken</t>
  </si>
  <si>
    <t>Sankt Alban</t>
  </si>
  <si>
    <t>Schiersfeld</t>
  </si>
  <si>
    <t>Schönborn</t>
  </si>
  <si>
    <t>Sitters</t>
  </si>
  <si>
    <t>Stahlberg</t>
  </si>
  <si>
    <t>Teschenmoschel</t>
  </si>
  <si>
    <t>Unkenbach</t>
  </si>
  <si>
    <t>Waldgrehweiler</t>
  </si>
  <si>
    <t>Winterborn</t>
  </si>
  <si>
    <t>Würzweiler</t>
  </si>
  <si>
    <t>Rathskirchen</t>
  </si>
  <si>
    <t>Reichsthal</t>
  </si>
  <si>
    <t>Seelen</t>
  </si>
  <si>
    <t>Rockenhausen, Stadt</t>
  </si>
  <si>
    <t>Durchschnittliche Pendeldistanz</t>
  </si>
  <si>
    <t>Reisezeit × Bevölkerungsanteil</t>
  </si>
  <si>
    <t>Durchschn. Pendeldistanz × Bevölkerungsanteil</t>
  </si>
  <si>
    <t>Reisezeitverhältnis × Bevölkerungsanteil</t>
  </si>
  <si>
    <t>Auskunftsplattform</t>
  </si>
  <si>
    <t>Start-Haltestelle</t>
  </si>
  <si>
    <t>Ziel-Haltestelle</t>
  </si>
  <si>
    <t>Umsteigezeit</t>
  </si>
  <si>
    <t>Wegzeit</t>
  </si>
  <si>
    <t>EFA BW, für den 08.07.24</t>
  </si>
  <si>
    <t>bodo, für den 08.07.24</t>
  </si>
  <si>
    <t>VRN, für den 11.07.24</t>
  </si>
  <si>
    <t>Westfalentarif, für den 10.07.24</t>
  </si>
  <si>
    <t>Westfalentarif, für den 03.07.24</t>
  </si>
  <si>
    <t>INSA, für den 10.07.24</t>
  </si>
  <si>
    <t>VVV, für den 10.07.24</t>
  </si>
  <si>
    <t>Westfalentarif, für den 02.07.24</t>
  </si>
  <si>
    <t>RMV, für den 09.07.24</t>
  </si>
  <si>
    <t>RMV, für den 09.07.24 + OREG Linienfpl [23]</t>
  </si>
  <si>
    <t>HVV, für den 09.07.24</t>
  </si>
  <si>
    <t>HVV, für den 16.07.24</t>
  </si>
  <si>
    <t>NAH.SH, für den 10.07.24</t>
  </si>
  <si>
    <t>saarVV, für den 17.7.24</t>
  </si>
  <si>
    <t>Top 10 Pendelverflechtungen NVH</t>
  </si>
  <si>
    <t>Top 10 Pendelverflechtungen Kreis FDS</t>
  </si>
  <si>
    <t>Top 10 Pendelverflechtungen Kreis RV</t>
  </si>
  <si>
    <t>Top 10 Pendelverflechtungen VRN</t>
  </si>
  <si>
    <t>Top 10 Pendelverflechtungen WVG</t>
  </si>
  <si>
    <t>Top 10 Pendelverflechtungen RVM</t>
  </si>
  <si>
    <t xml:space="preserve">Top 10 Pendelverflechtungen HVV </t>
  </si>
  <si>
    <t>Top 10 Pendelverflechtungen NAH.SH</t>
  </si>
  <si>
    <t>Top 10 Pendelverflechtungen Land SL</t>
  </si>
  <si>
    <t>Top 10 Pendelverflechtungen Kreis ERB</t>
  </si>
  <si>
    <t>Top 10 Pendelverflechtungen Kreis LIP</t>
  </si>
  <si>
    <t>Top 10 Pendelverflechtungen V</t>
  </si>
  <si>
    <t>Top 10 Pendelverflechtungen Kreis SAW</t>
  </si>
  <si>
    <t>NVH</t>
  </si>
  <si>
    <t>Kreis FDS</t>
  </si>
  <si>
    <t>Kreis RV</t>
  </si>
  <si>
    <t>VRN</t>
  </si>
  <si>
    <t>WVG</t>
  </si>
  <si>
    <t>Kreis SAW</t>
  </si>
  <si>
    <t>Kreis V</t>
  </si>
  <si>
    <t>Kreis LIP</t>
  </si>
  <si>
    <t>Kreis ERB</t>
  </si>
  <si>
    <t>HVV</t>
  </si>
  <si>
    <t>NAH.SH</t>
  </si>
  <si>
    <t>Land SL</t>
  </si>
  <si>
    <t>Anhang II</t>
  </si>
  <si>
    <t>Inhalt</t>
  </si>
  <si>
    <t>Berechn. Reisezeitverhältnis:</t>
  </si>
  <si>
    <t>Berechn. Erreichbarkeit:</t>
  </si>
  <si>
    <t>Vollständige Berechnung des Kriteriums "Reisezeitverhältnis" für alle 13 Beispielregionen, nach dem in Anhang I B.2 vorgestellten Muster.</t>
  </si>
  <si>
    <t>Vollständige Berechnung des Kriteriums "Erreichbarkeit zentraler Orte" für alle 13 Beispielregionen, nach dem in Anhang I B.3 vorgestellten Muster.</t>
  </si>
  <si>
    <t>Berechn. Umsteigeh., -wartezeit:</t>
  </si>
  <si>
    <t>Berechn. Pendeldistanz:</t>
  </si>
  <si>
    <t>Hilfrechn. Gemeindeverz.:</t>
  </si>
  <si>
    <t>Vollständige Berechnung der Kriterien "Umsteigehäufigkeit" und "Umsteigewartezeiten" für alle 13 Beispielregionen, nach den in den Anhängen I B.4</t>
  </si>
  <si>
    <t>und I B.5 vorgestellten Mustern.</t>
  </si>
  <si>
    <t>Vollständige Berechnung der durchschnittlichen Pendeldistanzen in den 13 Beispielregionen, als Grundlage für die entfernungsabhängige Einteilung in</t>
  </si>
  <si>
    <t>SAQv-Stufen in den Anhängen I B.2 und I B.4.</t>
  </si>
  <si>
    <t>Hilfsrechnung zur Zuteilung aktuell bestehender Gemeinden und deren Wohnbevölkerung nach GV-Isys zu ehemaligen Gemeinde-Einheiten, welche</t>
  </si>
  <si>
    <t>in den Datensätzen des Deutschlandatlas noch gelistet sind.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</si>
</sst>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indexed="8"/>
      <name val="Arial"/>
      <family val="2"/>
    </font>
    <font>
      <i/>
      <sz val="11"/>
      <color theme="1"/>
      <name val="Aptos Narrow"/>
      <family val="2"/>
      <scheme val="minor"/>
    </font>
    <font>
      <sz val="9.5"/>
      <color rgb="FF000000"/>
      <name val="Arial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i/>
      <sz val="11"/>
      <color theme="1"/>
      <name val="Aptos"/>
      <family val="2"/>
    </font>
    <font>
      <sz val="11"/>
      <color rgb="FF000D1A"/>
      <name val="Aptos"/>
      <family val="2"/>
    </font>
    <font>
      <strike/>
      <sz val="11"/>
      <color theme="1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strike/>
      <sz val="11"/>
      <color indexed="8"/>
      <name val="Aptos"/>
      <family val="2"/>
    </font>
    <font>
      <sz val="8"/>
      <name val="Aptos Narrow"/>
      <family val="2"/>
      <scheme val="minor"/>
    </font>
    <font>
      <sz val="11"/>
      <color theme="1"/>
      <name val="Times New Roman"/>
      <family val="1"/>
    </font>
    <font>
      <sz val="28"/>
      <color theme="1"/>
      <name val="Times New Roman"/>
      <family val="1"/>
    </font>
    <font>
      <sz val="16"/>
      <color rgb="FF0F476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Gray"/>
    </fill>
    <fill>
      <patternFill patternType="lightGray">
        <bgColor theme="2" tint="-0.249977111117893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rgb="FF0F4761"/>
      </left>
      <right/>
      <top style="thin">
        <color rgb="FF0F4761"/>
      </top>
      <bottom/>
      <diagonal/>
    </border>
    <border>
      <left/>
      <right/>
      <top style="thin">
        <color rgb="FF0F4761"/>
      </top>
      <bottom/>
      <diagonal/>
    </border>
    <border>
      <left/>
      <right style="thin">
        <color rgb="FF0F4761"/>
      </right>
      <top style="thin">
        <color rgb="FF0F4761"/>
      </top>
      <bottom/>
      <diagonal/>
    </border>
    <border>
      <left style="thin">
        <color rgb="FF0F4761"/>
      </left>
      <right/>
      <top/>
      <bottom style="thin">
        <color rgb="FF0F4761"/>
      </bottom>
      <diagonal/>
    </border>
    <border>
      <left/>
      <right/>
      <top/>
      <bottom style="thin">
        <color rgb="FF0F4761"/>
      </bottom>
      <diagonal/>
    </border>
    <border>
      <left/>
      <right style="thin">
        <color rgb="FF0F4761"/>
      </right>
      <top/>
      <bottom style="thin">
        <color rgb="FF0F4761"/>
      </bottom>
      <diagonal/>
    </border>
    <border>
      <left style="thin">
        <color rgb="FF0F4761"/>
      </left>
      <right/>
      <top style="thin">
        <color rgb="FF0F4761"/>
      </top>
      <bottom style="thin">
        <color rgb="FF0F4761"/>
      </bottom>
      <diagonal/>
    </border>
    <border>
      <left/>
      <right/>
      <top style="thin">
        <color rgb="FF0F4761"/>
      </top>
      <bottom style="thin">
        <color rgb="FF0F4761"/>
      </bottom>
      <diagonal/>
    </border>
    <border>
      <left/>
      <right style="thin">
        <color rgb="FF0F4761"/>
      </right>
      <top style="thin">
        <color rgb="FF0F4761"/>
      </top>
      <bottom style="thin">
        <color rgb="FF0F476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5" fillId="0" borderId="0"/>
  </cellStyleXfs>
  <cellXfs count="68">
    <xf numFmtId="0" fontId="0" fillId="0" borderId="0" xfId="0"/>
    <xf numFmtId="0" fontId="2" fillId="0" borderId="0" xfId="0" applyFont="1"/>
    <xf numFmtId="0" fontId="4" fillId="0" borderId="2" xfId="0" applyFont="1" applyBorder="1"/>
    <xf numFmtId="0" fontId="6" fillId="0" borderId="0" xfId="0" applyFont="1"/>
    <xf numFmtId="165" fontId="0" fillId="0" borderId="0" xfId="1" applyNumberFormat="1" applyFont="1"/>
    <xf numFmtId="0" fontId="0" fillId="0" borderId="0" xfId="0" applyAlignment="1">
      <alignment horizontal="center"/>
    </xf>
    <xf numFmtId="165" fontId="0" fillId="0" borderId="2" xfId="1" applyNumberFormat="1" applyFont="1" applyBorder="1"/>
    <xf numFmtId="0" fontId="6" fillId="4" borderId="0" xfId="0" applyFont="1" applyFill="1" applyAlignment="1">
      <alignment wrapText="1"/>
    </xf>
    <xf numFmtId="0" fontId="6" fillId="4" borderId="0" xfId="0" applyFont="1" applyFill="1"/>
    <xf numFmtId="0" fontId="7" fillId="0" borderId="0" xfId="0" applyFont="1"/>
    <xf numFmtId="3" fontId="6" fillId="0" borderId="0" xfId="0" applyNumberFormat="1" applyFont="1"/>
    <xf numFmtId="9" fontId="6" fillId="0" borderId="0" xfId="2" applyFont="1"/>
    <xf numFmtId="0" fontId="6" fillId="0" borderId="0" xfId="4" applyFont="1"/>
    <xf numFmtId="2" fontId="6" fillId="0" borderId="0" xfId="0" applyNumberFormat="1" applyFont="1"/>
    <xf numFmtId="0" fontId="6" fillId="0" borderId="3" xfId="0" applyFont="1" applyBorder="1"/>
    <xf numFmtId="3" fontId="6" fillId="0" borderId="3" xfId="0" applyNumberFormat="1" applyFont="1" applyBorder="1"/>
    <xf numFmtId="9" fontId="6" fillId="0" borderId="3" xfId="2" applyFont="1" applyBorder="1"/>
    <xf numFmtId="0" fontId="8" fillId="0" borderId="0" xfId="0" applyFont="1"/>
    <xf numFmtId="0" fontId="6" fillId="0" borderId="2" xfId="0" applyFont="1" applyBorder="1"/>
    <xf numFmtId="4" fontId="6" fillId="0" borderId="2" xfId="0" applyNumberFormat="1" applyFont="1" applyBorder="1"/>
    <xf numFmtId="0" fontId="8" fillId="0" borderId="2" xfId="0" applyFont="1" applyBorder="1"/>
    <xf numFmtId="3" fontId="6" fillId="0" borderId="2" xfId="0" applyNumberFormat="1" applyFont="1" applyBorder="1"/>
    <xf numFmtId="9" fontId="6" fillId="0" borderId="2" xfId="2" applyFont="1" applyBorder="1"/>
    <xf numFmtId="164" fontId="6" fillId="0" borderId="0" xfId="2" applyNumberFormat="1" applyFont="1"/>
    <xf numFmtId="0" fontId="9" fillId="0" borderId="0" xfId="0" applyFont="1"/>
    <xf numFmtId="164" fontId="6" fillId="0" borderId="2" xfId="2" applyNumberFormat="1" applyFont="1" applyBorder="1"/>
    <xf numFmtId="9" fontId="6" fillId="0" borderId="0" xfId="2" applyFont="1" applyBorder="1"/>
    <xf numFmtId="4" fontId="6" fillId="0" borderId="0" xfId="0" applyNumberFormat="1" applyFont="1"/>
    <xf numFmtId="0" fontId="10" fillId="0" borderId="0" xfId="0" applyFont="1"/>
    <xf numFmtId="3" fontId="10" fillId="0" borderId="0" xfId="0" applyNumberFormat="1" applyFont="1"/>
    <xf numFmtId="164" fontId="10" fillId="0" borderId="0" xfId="2" applyNumberFormat="1" applyFont="1"/>
    <xf numFmtId="3" fontId="11" fillId="3" borderId="0" xfId="0" applyNumberFormat="1" applyFont="1" applyFill="1" applyAlignment="1">
      <alignment horizontal="right" vertical="center" wrapText="1"/>
    </xf>
    <xf numFmtId="2" fontId="10" fillId="0" borderId="0" xfId="0" applyNumberFormat="1" applyFont="1"/>
    <xf numFmtId="0" fontId="6" fillId="2" borderId="0" xfId="0" applyFont="1" applyFill="1"/>
    <xf numFmtId="3" fontId="6" fillId="2" borderId="0" xfId="0" applyNumberFormat="1" applyFont="1" applyFill="1"/>
    <xf numFmtId="164" fontId="6" fillId="0" borderId="0" xfId="2" applyNumberFormat="1" applyFont="1" applyFill="1"/>
    <xf numFmtId="0" fontId="6" fillId="0" borderId="0" xfId="0" applyFont="1" applyAlignment="1">
      <alignment wrapText="1"/>
    </xf>
    <xf numFmtId="2" fontId="12" fillId="0" borderId="1" xfId="3" applyNumberFormat="1" applyFont="1" applyBorder="1" applyAlignment="1">
      <alignment horizontal="right"/>
    </xf>
    <xf numFmtId="2" fontId="12" fillId="0" borderId="4" xfId="3" applyNumberFormat="1" applyFont="1" applyBorder="1" applyAlignment="1">
      <alignment horizontal="right"/>
    </xf>
    <xf numFmtId="2" fontId="6" fillId="0" borderId="2" xfId="0" applyNumberFormat="1" applyFont="1" applyBorder="1"/>
    <xf numFmtId="2" fontId="12" fillId="0" borderId="0" xfId="3" applyNumberFormat="1" applyFont="1" applyAlignment="1">
      <alignment horizontal="right"/>
    </xf>
    <xf numFmtId="2" fontId="13" fillId="0" borderId="1" xfId="3" applyNumberFormat="1" applyFont="1" applyBorder="1" applyAlignment="1">
      <alignment horizontal="right"/>
    </xf>
    <xf numFmtId="0" fontId="6" fillId="6" borderId="0" xfId="0" applyFont="1" applyFill="1"/>
    <xf numFmtId="9" fontId="6" fillId="0" borderId="0" xfId="2" applyFont="1" applyFill="1"/>
    <xf numFmtId="0" fontId="6" fillId="5" borderId="0" xfId="0" applyFont="1" applyFill="1"/>
    <xf numFmtId="1" fontId="6" fillId="0" borderId="0" xfId="0" applyNumberFormat="1" applyFont="1"/>
    <xf numFmtId="20" fontId="6" fillId="0" borderId="0" xfId="0" applyNumberFormat="1" applyFont="1"/>
    <xf numFmtId="0" fontId="6" fillId="0" borderId="0" xfId="0" applyFont="1" applyAlignment="1">
      <alignment horizontal="right"/>
    </xf>
    <xf numFmtId="14" fontId="6" fillId="0" borderId="0" xfId="0" applyNumberFormat="1" applyFont="1"/>
    <xf numFmtId="20" fontId="6" fillId="0" borderId="0" xfId="0" applyNumberFormat="1" applyFont="1" applyAlignment="1">
      <alignment horizontal="right"/>
    </xf>
    <xf numFmtId="0" fontId="6" fillId="7" borderId="0" xfId="0" applyFont="1" applyFill="1"/>
    <xf numFmtId="0" fontId="15" fillId="0" borderId="6" xfId="0" applyFont="1" applyBorder="1" applyAlignment="1">
      <alignment vertical="top"/>
    </xf>
    <xf numFmtId="0" fontId="15" fillId="0" borderId="9" xfId="0" applyFont="1" applyBorder="1" applyAlignment="1">
      <alignment vertical="top"/>
    </xf>
    <xf numFmtId="0" fontId="15" fillId="0" borderId="0" xfId="0" applyFont="1" applyAlignment="1">
      <alignment vertical="top"/>
    </xf>
    <xf numFmtId="0" fontId="15" fillId="0" borderId="12" xfId="0" applyFont="1" applyBorder="1" applyAlignment="1">
      <alignment vertical="top"/>
    </xf>
    <xf numFmtId="0" fontId="15" fillId="0" borderId="13" xfId="0" applyFont="1" applyBorder="1" applyAlignment="1">
      <alignment vertical="top"/>
    </xf>
    <xf numFmtId="0" fontId="15" fillId="0" borderId="7" xfId="0" applyFont="1" applyBorder="1" applyAlignment="1">
      <alignment vertical="top"/>
    </xf>
    <xf numFmtId="0" fontId="15" fillId="0" borderId="10" xfId="0" applyFont="1" applyBorder="1" applyAlignment="1">
      <alignment vertical="top"/>
    </xf>
    <xf numFmtId="0" fontId="15" fillId="0" borderId="5" xfId="0" applyFont="1" applyBorder="1" applyAlignment="1">
      <alignment vertical="top"/>
    </xf>
    <xf numFmtId="0" fontId="15" fillId="0" borderId="6" xfId="0" applyFont="1" applyBorder="1" applyAlignment="1">
      <alignment vertical="top"/>
    </xf>
    <xf numFmtId="0" fontId="15" fillId="0" borderId="8" xfId="0" applyFont="1" applyBorder="1" applyAlignment="1">
      <alignment vertical="top"/>
    </xf>
    <xf numFmtId="0" fontId="15" fillId="0" borderId="9" xfId="0" applyFont="1" applyBorder="1" applyAlignment="1">
      <alignment vertical="top"/>
    </xf>
    <xf numFmtId="0" fontId="16" fillId="0" borderId="0" xfId="0" applyFont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15" fillId="0" borderId="11" xfId="0" applyFont="1" applyBorder="1" applyAlignment="1">
      <alignment horizontal="left" vertical="top"/>
    </xf>
    <xf numFmtId="0" fontId="15" fillId="0" borderId="12" xfId="0" applyFont="1" applyBorder="1" applyAlignment="1">
      <alignment horizontal="left" vertical="top"/>
    </xf>
    <xf numFmtId="0" fontId="15" fillId="0" borderId="11" xfId="0" applyFont="1" applyBorder="1" applyAlignment="1">
      <alignment vertical="top"/>
    </xf>
    <xf numFmtId="0" fontId="15" fillId="0" borderId="12" xfId="0" applyFont="1" applyBorder="1" applyAlignment="1">
      <alignment vertical="top"/>
    </xf>
  </cellXfs>
  <cellStyles count="5">
    <cellStyle name="Komma" xfId="1" builtinId="3"/>
    <cellStyle name="Prozent" xfId="2" builtinId="5"/>
    <cellStyle name="Standard" xfId="0" builtinId="0"/>
    <cellStyle name="Standard 3" xfId="4" xr:uid="{647E36DC-0289-4FFC-AE59-92DB38DA0DD0}"/>
    <cellStyle name="Standard_Tabelle1" xfId="3" xr:uid="{E69529FE-85CE-42A7-BE76-7D06A388122A}"/>
  </cellStyles>
  <dxfs count="0"/>
  <tableStyles count="0" defaultTableStyle="TableStyleMedium2" defaultPivotStyle="PivotStyleLight16"/>
  <colors>
    <mruColors>
      <color rgb="FF0F47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is\Dropbox\Transfer%20Dateien\Dokumente\Studium\TH%20Wildau\6.%20Semester\BA%20Linienhierarchien%20im%20&#214;SPV\Erfolgskriterien\02%20Ermittlung%20Kriterien\20240723-Beispielregionen_&#220;bersicht-Pendlerdistanz.xlsx" TargetMode="External"/><Relationship Id="rId1" Type="http://schemas.openxmlformats.org/officeDocument/2006/relationships/externalLinkPath" Target="file:///C:\Users\chris\Dropbox\Transfer%20Dateien\Dokumente\Studium\TH%20Wildau\6.%20Semester\BA%20Linienhierarchien%20im%20&#214;SPV\Erfolgskriterien\02%20Ermittlung%20Kriterien\20240723-Beispielregionen_&#220;bersicht-Pendlerdistan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 (2)"/>
      <sheetName val="Tabelle1"/>
      <sheetName val="Hilfsrechn. MS"/>
      <sheetName val="Hilfsrechn. RZV"/>
      <sheetName val="Hilfsrechn. EzO"/>
      <sheetName val="Hilfsrechn. Distanzen"/>
      <sheetName val="Hilfsrechnungen USH, WIS"/>
      <sheetName val="Hilfrechn. Verknüpfung"/>
      <sheetName val="Hilfrechn. Hierarchie"/>
      <sheetName val="Hilfsrechn. Gemeindeverz."/>
      <sheetName val="Bewertungsmatrix Verknüpfung"/>
      <sheetName val="Bewertungsmatrix Hierarchi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5">
          <cell r="C55">
            <v>6571</v>
          </cell>
          <cell r="D55">
            <v>10893</v>
          </cell>
        </row>
      </sheetData>
      <sheetData sheetId="10"/>
      <sheetData sheetId="1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hristian JW" id="{618B0C80-73F4-4CC8-8048-6D821FADFF24}" userId="2531fa208161ab95" providerId="Windows Live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39" dT="2024-07-18T09:53:20.94" personId="{618B0C80-73F4-4CC8-8048-6D821FADFF24}" id="{FD823D8B-C62E-4D54-839A-BD528B2AEA63}">
    <text>Wird vom Amt Itzstedt verwaltet</text>
  </threadedComment>
  <threadedComment ref="A524" dT="2024-07-11T15:20:17.47" personId="{618B0C80-73F4-4CC8-8048-6D821FADFF24}" id="{30951A09-0B51-4C12-ABD7-BAF7352FEC5B}">
    <text>Gehört zum Amt Plöner See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439" dT="2024-07-18T09:53:20.94" personId="{618B0C80-73F4-4CC8-8048-6D821FADFF24}" id="{881311BC-6983-43EF-9B56-ADB90D1D3ACE}">
    <text>Wird vom Amt Itzstedt verwaltet</text>
  </threadedComment>
  <threadedComment ref="A524" dT="2024-07-11T15:20:17.47" personId="{618B0C80-73F4-4CC8-8048-6D821FADFF24}" id="{6B1037B8-D9B8-4609-9209-BC384007346C}">
    <text>Gehört zum Amt Plöner See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E119" dT="2024-07-29T22:05:55.60" personId="{618B0C80-73F4-4CC8-8048-6D821FADFF24}" id="{37E52E12-3523-4B35-A715-BEAC605AEBD1}">
    <text>Ohne TaxOmobil, da dieses für die hier betrachteten Größen gleichbedeutend wie der MIV ist</text>
  </threadedComment>
  <threadedComment ref="M119" dT="2024-07-29T22:13:40.23" personId="{618B0C80-73F4-4CC8-8048-6D821FADFF24}" id="{EE7C11A2-3E65-4263-8C69-FD115589BE92}">
    <text>RMV gibt nur den Weg zwischen 2 Haltestellen an, nicht beim Umstiegen innerhalb einer Haltestellen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BB2C8-79B9-4463-A63B-1EF31F6AF1C7}">
  <dimension ref="A1:M11"/>
  <sheetViews>
    <sheetView tabSelected="1" workbookViewId="0">
      <selection activeCell="A12" sqref="A12"/>
    </sheetView>
  </sheetViews>
  <sheetFormatPr baseColWidth="10" defaultColWidth="10.85546875" defaultRowHeight="15" x14ac:dyDescent="0.25"/>
  <cols>
    <col min="1" max="2" width="10.85546875" style="53"/>
    <col min="3" max="3" width="3.7109375" style="53" customWidth="1"/>
    <col min="4" max="12" width="10.85546875" style="53"/>
    <col min="13" max="13" width="15.28515625" style="53" customWidth="1"/>
    <col min="14" max="16384" width="10.85546875" style="53"/>
  </cols>
  <sheetData>
    <row r="1" spans="1:13" ht="35.25" x14ac:dyDescent="0.25">
      <c r="A1" s="62" t="s">
        <v>954</v>
      </c>
      <c r="B1" s="62"/>
    </row>
    <row r="3" spans="1:13" ht="20.25" x14ac:dyDescent="0.25">
      <c r="A3" s="63" t="s">
        <v>955</v>
      </c>
      <c r="B3" s="63"/>
    </row>
    <row r="4" spans="1:13" x14ac:dyDescent="0.25">
      <c r="A4" s="64" t="s">
        <v>956</v>
      </c>
      <c r="B4" s="65"/>
      <c r="C4" s="65"/>
      <c r="D4" s="54" t="s">
        <v>958</v>
      </c>
      <c r="E4" s="54"/>
      <c r="F4" s="54"/>
      <c r="G4" s="54"/>
      <c r="H4" s="54"/>
      <c r="I4" s="54"/>
      <c r="J4" s="54"/>
      <c r="K4" s="54"/>
      <c r="L4" s="54"/>
      <c r="M4" s="55"/>
    </row>
    <row r="5" spans="1:13" x14ac:dyDescent="0.25">
      <c r="A5" s="66" t="s">
        <v>957</v>
      </c>
      <c r="B5" s="67"/>
      <c r="C5" s="67"/>
      <c r="D5" s="54" t="s">
        <v>959</v>
      </c>
      <c r="E5" s="54"/>
      <c r="F5" s="54"/>
      <c r="G5" s="54"/>
      <c r="H5" s="54"/>
      <c r="I5" s="54"/>
      <c r="J5" s="54"/>
      <c r="K5" s="54"/>
      <c r="L5" s="54"/>
      <c r="M5" s="55"/>
    </row>
    <row r="6" spans="1:13" x14ac:dyDescent="0.25">
      <c r="A6" s="58" t="s">
        <v>960</v>
      </c>
      <c r="B6" s="59"/>
      <c r="C6" s="59"/>
      <c r="D6" s="51" t="s">
        <v>963</v>
      </c>
      <c r="E6" s="51"/>
      <c r="F6" s="51"/>
      <c r="G6" s="51"/>
      <c r="H6" s="51"/>
      <c r="I6" s="51"/>
      <c r="J6" s="51"/>
      <c r="K6" s="51"/>
      <c r="L6" s="51"/>
      <c r="M6" s="56"/>
    </row>
    <row r="7" spans="1:13" x14ac:dyDescent="0.25">
      <c r="A7" s="60"/>
      <c r="B7" s="61"/>
      <c r="C7" s="61"/>
      <c r="D7" s="52" t="s">
        <v>964</v>
      </c>
      <c r="E7" s="52"/>
      <c r="F7" s="52"/>
      <c r="G7" s="52"/>
      <c r="H7" s="52"/>
      <c r="I7" s="52"/>
      <c r="J7" s="52"/>
      <c r="K7" s="52"/>
      <c r="L7" s="52"/>
      <c r="M7" s="57"/>
    </row>
    <row r="8" spans="1:13" x14ac:dyDescent="0.25">
      <c r="A8" s="58" t="s">
        <v>961</v>
      </c>
      <c r="B8" s="59"/>
      <c r="C8" s="59"/>
      <c r="D8" s="51" t="s">
        <v>965</v>
      </c>
      <c r="E8" s="51"/>
      <c r="F8" s="51"/>
      <c r="G8" s="51"/>
      <c r="H8" s="51"/>
      <c r="I8" s="51"/>
      <c r="J8" s="51"/>
      <c r="K8" s="51"/>
      <c r="L8" s="51"/>
      <c r="M8" s="56"/>
    </row>
    <row r="9" spans="1:13" x14ac:dyDescent="0.25">
      <c r="A9" s="60"/>
      <c r="B9" s="61"/>
      <c r="C9" s="61"/>
      <c r="D9" s="52" t="s">
        <v>966</v>
      </c>
      <c r="E9" s="52"/>
      <c r="F9" s="52"/>
      <c r="G9" s="52"/>
      <c r="H9" s="52"/>
      <c r="I9" s="52"/>
      <c r="J9" s="52"/>
      <c r="K9" s="52"/>
      <c r="L9" s="52"/>
      <c r="M9" s="57"/>
    </row>
    <row r="10" spans="1:13" x14ac:dyDescent="0.25">
      <c r="A10" s="58" t="s">
        <v>962</v>
      </c>
      <c r="B10" s="59"/>
      <c r="C10" s="59"/>
      <c r="D10" s="51" t="s">
        <v>967</v>
      </c>
      <c r="E10" s="51"/>
      <c r="F10" s="51"/>
      <c r="G10" s="51"/>
      <c r="H10" s="51"/>
      <c r="I10" s="51"/>
      <c r="J10" s="51"/>
      <c r="K10" s="51"/>
      <c r="L10" s="51"/>
      <c r="M10" s="56"/>
    </row>
    <row r="11" spans="1:13" x14ac:dyDescent="0.25">
      <c r="A11" s="60"/>
      <c r="B11" s="61"/>
      <c r="C11" s="61"/>
      <c r="D11" s="52" t="s">
        <v>968</v>
      </c>
      <c r="E11" s="52"/>
      <c r="F11" s="52"/>
      <c r="G11" s="52"/>
      <c r="H11" s="52"/>
      <c r="I11" s="52"/>
      <c r="J11" s="52"/>
      <c r="K11" s="52"/>
      <c r="L11" s="52"/>
      <c r="M11" s="57"/>
    </row>
  </sheetData>
  <mergeCells count="7">
    <mergeCell ref="A10:C11"/>
    <mergeCell ref="A1:B1"/>
    <mergeCell ref="A3:B3"/>
    <mergeCell ref="A4:C4"/>
    <mergeCell ref="A5:C5"/>
    <mergeCell ref="A6:C7"/>
    <mergeCell ref="A8:C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622D4-A235-4E70-AF18-072157E17097}">
  <dimension ref="A1:J650"/>
  <sheetViews>
    <sheetView workbookViewId="0">
      <selection activeCell="B3" sqref="B3"/>
    </sheetView>
  </sheetViews>
  <sheetFormatPr baseColWidth="10" defaultColWidth="11.28515625" defaultRowHeight="15" x14ac:dyDescent="0.25"/>
  <cols>
    <col min="1" max="1" width="22.42578125" style="3" customWidth="1"/>
    <col min="2" max="2" width="17" style="3" customWidth="1"/>
    <col min="3" max="3" width="17.42578125" style="3" customWidth="1"/>
    <col min="4" max="4" width="2.85546875" style="3" customWidth="1"/>
    <col min="5" max="6" width="11.28515625" style="3"/>
    <col min="7" max="7" width="9.28515625" style="3" customWidth="1"/>
    <col min="8" max="8" width="19.140625" style="3" customWidth="1"/>
    <col min="9" max="16384" width="11.28515625" style="3"/>
  </cols>
  <sheetData>
    <row r="1" spans="1:8" s="36" customFormat="1" ht="75" x14ac:dyDescent="0.25">
      <c r="A1" s="7"/>
      <c r="B1" s="7" t="s">
        <v>597</v>
      </c>
      <c r="C1" s="7" t="s">
        <v>598</v>
      </c>
      <c r="D1" s="7"/>
      <c r="E1" s="7" t="s">
        <v>599</v>
      </c>
      <c r="F1" s="7" t="s">
        <v>600</v>
      </c>
      <c r="G1" s="7" t="s">
        <v>596</v>
      </c>
      <c r="H1" s="7" t="s">
        <v>909</v>
      </c>
    </row>
    <row r="2" spans="1:8" x14ac:dyDescent="0.25">
      <c r="A2" s="9" t="s">
        <v>942</v>
      </c>
    </row>
    <row r="3" spans="1:8" x14ac:dyDescent="0.25">
      <c r="A3" s="3" t="s">
        <v>1</v>
      </c>
      <c r="B3" s="10">
        <v>10893</v>
      </c>
      <c r="C3" s="11">
        <f t="shared" ref="C3:C10" si="0">B3/B$10</f>
        <v>9.46698765024378E-2</v>
      </c>
      <c r="E3" s="37">
        <v>15.6</v>
      </c>
      <c r="F3" s="13">
        <v>30.58</v>
      </c>
      <c r="G3" s="13">
        <f>F3/E3</f>
        <v>1.9602564102564102</v>
      </c>
      <c r="H3" s="13">
        <f t="shared" ref="H3:H9" si="1">G3*C3</f>
        <v>0.18557723227208639</v>
      </c>
    </row>
    <row r="4" spans="1:8" x14ac:dyDescent="0.25">
      <c r="A4" s="3" t="s">
        <v>2</v>
      </c>
      <c r="B4" s="10">
        <v>21695</v>
      </c>
      <c r="C4" s="11">
        <f t="shared" si="0"/>
        <v>0.18854888191686295</v>
      </c>
      <c r="E4" s="37">
        <v>5.0999999999999996</v>
      </c>
      <c r="F4" s="13">
        <v>15.71</v>
      </c>
      <c r="G4" s="13">
        <f t="shared" ref="G4:G9" si="2">F4/E4</f>
        <v>3.0803921568627457</v>
      </c>
      <c r="H4" s="13">
        <f t="shared" si="1"/>
        <v>0.58080449704194459</v>
      </c>
    </row>
    <row r="5" spans="1:8" x14ac:dyDescent="0.25">
      <c r="A5" s="3" t="s">
        <v>3</v>
      </c>
      <c r="B5" s="10">
        <v>11452</v>
      </c>
      <c r="C5" s="11">
        <f t="shared" si="0"/>
        <v>9.9528084614515525E-2</v>
      </c>
      <c r="E5" s="37">
        <v>12.28</v>
      </c>
      <c r="F5" s="13">
        <v>26.56</v>
      </c>
      <c r="G5" s="13">
        <f t="shared" si="2"/>
        <v>2.1628664495114007</v>
      </c>
      <c r="H5" s="13">
        <f t="shared" si="1"/>
        <v>0.21526595499686746</v>
      </c>
    </row>
    <row r="6" spans="1:8" x14ac:dyDescent="0.25">
      <c r="A6" s="3" t="s">
        <v>4</v>
      </c>
      <c r="B6" s="10">
        <v>16306</v>
      </c>
      <c r="C6" s="11">
        <f t="shared" si="0"/>
        <v>0.14171366990257511</v>
      </c>
      <c r="E6" s="37">
        <v>9.82</v>
      </c>
      <c r="F6" s="13">
        <v>21.2</v>
      </c>
      <c r="G6" s="13">
        <f t="shared" si="2"/>
        <v>2.1588594704684319</v>
      </c>
      <c r="H6" s="13">
        <f t="shared" si="1"/>
        <v>0.30593989836401148</v>
      </c>
    </row>
    <row r="7" spans="1:8" x14ac:dyDescent="0.25">
      <c r="A7" s="3" t="s">
        <v>5</v>
      </c>
      <c r="B7" s="10">
        <v>36473</v>
      </c>
      <c r="C7" s="11">
        <f t="shared" si="0"/>
        <v>0.3169828702536871</v>
      </c>
      <c r="E7" s="37">
        <v>3.84</v>
      </c>
      <c r="F7" s="13">
        <v>10.33</v>
      </c>
      <c r="G7" s="13">
        <f t="shared" si="2"/>
        <v>2.690104166666667</v>
      </c>
      <c r="H7" s="13">
        <f t="shared" si="1"/>
        <v>0.85271694003140319</v>
      </c>
    </row>
    <row r="8" spans="1:8" x14ac:dyDescent="0.25">
      <c r="A8" s="3" t="s">
        <v>6</v>
      </c>
      <c r="B8" s="10">
        <v>5636</v>
      </c>
      <c r="C8" s="11">
        <f t="shared" si="0"/>
        <v>4.8981862110322169E-2</v>
      </c>
      <c r="E8" s="37">
        <v>19.8</v>
      </c>
      <c r="F8" s="13">
        <v>43.4</v>
      </c>
      <c r="G8" s="13">
        <f t="shared" si="2"/>
        <v>2.1919191919191916</v>
      </c>
      <c r="H8" s="13">
        <f t="shared" si="1"/>
        <v>0.10736428361555464</v>
      </c>
    </row>
    <row r="9" spans="1:8" x14ac:dyDescent="0.25">
      <c r="A9" s="14" t="s">
        <v>7</v>
      </c>
      <c r="B9" s="15">
        <v>12608</v>
      </c>
      <c r="C9" s="16">
        <f t="shared" si="0"/>
        <v>0.10957475469959935</v>
      </c>
      <c r="D9" s="14"/>
      <c r="E9" s="38">
        <v>7.51</v>
      </c>
      <c r="F9" s="13">
        <v>19.690000000000001</v>
      </c>
      <c r="G9" s="13">
        <f t="shared" si="2"/>
        <v>2.6218375499334226</v>
      </c>
      <c r="H9" s="13">
        <f t="shared" si="1"/>
        <v>0.28728720639615335</v>
      </c>
    </row>
    <row r="10" spans="1:8" x14ac:dyDescent="0.25">
      <c r="A10" s="17" t="s">
        <v>0</v>
      </c>
      <c r="B10" s="10">
        <f>SUM(B3:B9)</f>
        <v>115063</v>
      </c>
      <c r="C10" s="11">
        <f t="shared" si="0"/>
        <v>1</v>
      </c>
      <c r="E10" s="18"/>
      <c r="F10" s="18"/>
      <c r="G10" s="39"/>
      <c r="H10" s="19">
        <f>SUM(H3:H9)</f>
        <v>2.5349560127180215</v>
      </c>
    </row>
    <row r="13" spans="1:8" x14ac:dyDescent="0.25">
      <c r="A13" s="9" t="s">
        <v>943</v>
      </c>
    </row>
    <row r="14" spans="1:8" x14ac:dyDescent="0.25">
      <c r="A14" s="3" t="s">
        <v>8</v>
      </c>
      <c r="B14" s="10">
        <v>19684</v>
      </c>
      <c r="C14" s="11">
        <f>B14/B$21</f>
        <v>0.16245749562576342</v>
      </c>
      <c r="E14" s="37">
        <v>12.12</v>
      </c>
      <c r="F14" s="13">
        <v>24.32</v>
      </c>
      <c r="G14" s="13">
        <f t="shared" ref="G14:G20" si="3">F14/E14</f>
        <v>2.0066006600660069</v>
      </c>
      <c r="H14" s="13">
        <f t="shared" ref="H14:H20" si="4">G14*C14</f>
        <v>0.32598731795532732</v>
      </c>
    </row>
    <row r="15" spans="1:8" x14ac:dyDescent="0.25">
      <c r="A15" s="3" t="s">
        <v>9</v>
      </c>
      <c r="B15" s="10">
        <v>28573</v>
      </c>
      <c r="C15" s="11">
        <f t="shared" ref="C15:C21" si="5">B15/B$21</f>
        <v>0.23582087088574163</v>
      </c>
      <c r="E15" s="37">
        <v>5.48</v>
      </c>
      <c r="F15" s="13">
        <v>11.95</v>
      </c>
      <c r="G15" s="13">
        <f t="shared" si="3"/>
        <v>2.1806569343065689</v>
      </c>
      <c r="H15" s="13">
        <f t="shared" si="4"/>
        <v>0.51424441735120652</v>
      </c>
    </row>
    <row r="16" spans="1:8" x14ac:dyDescent="0.25">
      <c r="A16" s="3" t="s">
        <v>10</v>
      </c>
      <c r="B16" s="10">
        <v>36024</v>
      </c>
      <c r="C16" s="11">
        <f t="shared" si="5"/>
        <v>0.29731603446568289</v>
      </c>
      <c r="E16" s="37">
        <v>6.74</v>
      </c>
      <c r="F16" s="13">
        <v>19.149999999999999</v>
      </c>
      <c r="G16" s="13">
        <f t="shared" si="3"/>
        <v>2.8412462908011866</v>
      </c>
      <c r="H16" s="13">
        <f t="shared" si="4"/>
        <v>0.84474808012133928</v>
      </c>
    </row>
    <row r="17" spans="1:8" x14ac:dyDescent="0.25">
      <c r="A17" s="3" t="s">
        <v>11</v>
      </c>
      <c r="B17" s="10">
        <v>7966</v>
      </c>
      <c r="C17" s="11">
        <f t="shared" si="5"/>
        <v>6.5745601003598428E-2</v>
      </c>
      <c r="E17" s="37">
        <v>17.38</v>
      </c>
      <c r="F17" s="13">
        <v>36.799999999999997</v>
      </c>
      <c r="G17" s="13">
        <f t="shared" si="3"/>
        <v>2.1173762945914842</v>
      </c>
      <c r="H17" s="13">
        <f t="shared" si="4"/>
        <v>0.1392081770386894</v>
      </c>
    </row>
    <row r="18" spans="1:8" x14ac:dyDescent="0.25">
      <c r="A18" s="3" t="s">
        <v>12</v>
      </c>
      <c r="B18" s="10">
        <v>6177</v>
      </c>
      <c r="C18" s="11">
        <f t="shared" si="5"/>
        <v>5.0980489254233929E-2</v>
      </c>
      <c r="E18" s="37">
        <v>17.309999999999999</v>
      </c>
      <c r="F18" s="13">
        <v>31.34</v>
      </c>
      <c r="G18" s="13">
        <f t="shared" si="3"/>
        <v>1.8105141536684</v>
      </c>
      <c r="H18" s="13">
        <f t="shared" si="4"/>
        <v>9.2300897355730299E-2</v>
      </c>
    </row>
    <row r="19" spans="1:8" x14ac:dyDescent="0.25">
      <c r="A19" s="3" t="s">
        <v>13</v>
      </c>
      <c r="B19" s="10">
        <v>14942</v>
      </c>
      <c r="C19" s="11">
        <f t="shared" si="5"/>
        <v>0.12332045822191411</v>
      </c>
      <c r="E19" s="37">
        <v>10.46</v>
      </c>
      <c r="F19" s="13">
        <v>23.63</v>
      </c>
      <c r="G19" s="13">
        <f t="shared" si="3"/>
        <v>2.2590822179732313</v>
      </c>
      <c r="H19" s="13">
        <f t="shared" si="4"/>
        <v>0.27859105428143693</v>
      </c>
    </row>
    <row r="20" spans="1:8" x14ac:dyDescent="0.25">
      <c r="A20" s="3" t="s">
        <v>14</v>
      </c>
      <c r="B20" s="10">
        <v>7798</v>
      </c>
      <c r="C20" s="11">
        <f t="shared" si="5"/>
        <v>6.4359050543065593E-2</v>
      </c>
      <c r="E20" s="37">
        <v>10.98</v>
      </c>
      <c r="F20" s="13">
        <v>25.18</v>
      </c>
      <c r="G20" s="13">
        <f t="shared" si="3"/>
        <v>2.2932604735883424</v>
      </c>
      <c r="H20" s="13">
        <f t="shared" si="4"/>
        <v>0.14759206672808667</v>
      </c>
    </row>
    <row r="21" spans="1:8" x14ac:dyDescent="0.25">
      <c r="A21" s="20" t="s">
        <v>0</v>
      </c>
      <c r="B21" s="21">
        <f>SUM(B14:B20)</f>
        <v>121164</v>
      </c>
      <c r="C21" s="22">
        <f t="shared" si="5"/>
        <v>1</v>
      </c>
      <c r="D21" s="18"/>
      <c r="E21" s="18"/>
      <c r="F21" s="18"/>
      <c r="G21" s="39"/>
      <c r="H21" s="19">
        <f>SUM(H14:H20)</f>
        <v>2.3426720108318162</v>
      </c>
    </row>
    <row r="24" spans="1:8" x14ac:dyDescent="0.25">
      <c r="A24" s="9" t="s">
        <v>944</v>
      </c>
    </row>
    <row r="25" spans="1:8" x14ac:dyDescent="0.25">
      <c r="A25" s="3" t="s">
        <v>15</v>
      </c>
      <c r="B25" s="10">
        <v>11799</v>
      </c>
      <c r="C25" s="11">
        <f t="shared" ref="C25:C39" si="6">B25/B$39</f>
        <v>4.0558796332899064E-2</v>
      </c>
      <c r="E25" s="37">
        <v>14.24</v>
      </c>
      <c r="F25" s="13">
        <v>36.83</v>
      </c>
      <c r="G25" s="13">
        <f>F25/E25</f>
        <v>2.586376404494382</v>
      </c>
      <c r="H25" s="13">
        <f>G25*C25</f>
        <v>0.10490031383010341</v>
      </c>
    </row>
    <row r="26" spans="1:8" x14ac:dyDescent="0.25">
      <c r="A26" s="3" t="s">
        <v>16</v>
      </c>
      <c r="B26" s="10">
        <v>23881</v>
      </c>
      <c r="C26" s="11">
        <f t="shared" si="6"/>
        <v>8.2090398781758001E-2</v>
      </c>
      <c r="E26" s="37">
        <v>4.47</v>
      </c>
      <c r="F26" s="13">
        <v>12.37</v>
      </c>
      <c r="G26" s="13">
        <f t="shared" ref="G26:G38" si="7">F26/E26</f>
        <v>2.767337807606264</v>
      </c>
      <c r="H26" s="13">
        <f>G26*C26</f>
        <v>0.22717186419023411</v>
      </c>
    </row>
    <row r="27" spans="1:8" x14ac:dyDescent="0.25">
      <c r="A27" s="3" t="s">
        <v>17</v>
      </c>
      <c r="B27" s="10">
        <v>13723</v>
      </c>
      <c r="C27" s="11">
        <f t="shared" si="6"/>
        <v>4.7172502930449521E-2</v>
      </c>
      <c r="E27" s="37">
        <v>9.0500000000000007</v>
      </c>
      <c r="F27" s="13">
        <v>23.1</v>
      </c>
      <c r="G27" s="13">
        <f t="shared" si="7"/>
        <v>2.5524861878453038</v>
      </c>
      <c r="H27" s="13">
        <f>G27*C27</f>
        <v>0.12040716217606452</v>
      </c>
    </row>
    <row r="28" spans="1:8" x14ac:dyDescent="0.25">
      <c r="A28" s="3" t="s">
        <v>18</v>
      </c>
      <c r="B28" s="10">
        <v>29082</v>
      </c>
      <c r="C28" s="11">
        <f t="shared" si="6"/>
        <v>9.9968718955281852E-2</v>
      </c>
      <c r="E28" s="37">
        <v>5.19</v>
      </c>
      <c r="F28" s="13">
        <v>16.98</v>
      </c>
      <c r="G28" s="13">
        <f t="shared" si="7"/>
        <v>3.2716763005780347</v>
      </c>
      <c r="H28" s="13">
        <f>G28*C28</f>
        <v>0.32706528860514178</v>
      </c>
    </row>
    <row r="29" spans="1:8" x14ac:dyDescent="0.25">
      <c r="A29" s="3" t="s">
        <v>19</v>
      </c>
      <c r="B29" s="10">
        <v>94169</v>
      </c>
      <c r="C29" s="11">
        <f t="shared" si="6"/>
        <v>0.32370381319372593</v>
      </c>
      <c r="E29" s="37">
        <v>3.28</v>
      </c>
      <c r="F29" s="13">
        <v>10.95</v>
      </c>
      <c r="G29" s="13">
        <f t="shared" si="7"/>
        <v>3.3384146341463414</v>
      </c>
      <c r="H29" s="13">
        <f>G29*C29</f>
        <v>1.0806575470949082</v>
      </c>
    </row>
    <row r="30" spans="1:8" x14ac:dyDescent="0.25">
      <c r="A30" s="3" t="s">
        <v>20</v>
      </c>
      <c r="B30" s="10">
        <v>8533</v>
      </c>
      <c r="C30" s="11">
        <f t="shared" si="6"/>
        <v>2.9331995008782755E-2</v>
      </c>
      <c r="E30" s="37">
        <v>14.3</v>
      </c>
      <c r="F30" s="13">
        <v>27.72</v>
      </c>
      <c r="G30" s="13">
        <f t="shared" si="7"/>
        <v>1.9384615384615382</v>
      </c>
      <c r="H30" s="13">
        <f t="shared" ref="H30:H38" si="8">G30*C30</f>
        <v>5.685894417087118E-2</v>
      </c>
    </row>
    <row r="31" spans="1:8" x14ac:dyDescent="0.25">
      <c r="A31" s="3" t="s">
        <v>21</v>
      </c>
      <c r="B31" s="10">
        <v>33489</v>
      </c>
      <c r="C31" s="11">
        <f t="shared" si="6"/>
        <v>0.11511768204021161</v>
      </c>
      <c r="E31" s="37">
        <v>4.9800000000000004</v>
      </c>
      <c r="F31" s="13">
        <v>15.53</v>
      </c>
      <c r="G31" s="13">
        <f t="shared" si="7"/>
        <v>3.118473895582329</v>
      </c>
      <c r="H31" s="13">
        <f t="shared" si="8"/>
        <v>0.35899148636234662</v>
      </c>
    </row>
    <row r="32" spans="1:8" x14ac:dyDescent="0.25">
      <c r="A32" s="3" t="s">
        <v>22</v>
      </c>
      <c r="B32" s="10">
        <v>10653</v>
      </c>
      <c r="C32" s="11">
        <f t="shared" si="6"/>
        <v>3.6619447184877849E-2</v>
      </c>
      <c r="E32" s="37">
        <v>17.82</v>
      </c>
      <c r="F32" s="13">
        <v>37.450000000000003</v>
      </c>
      <c r="G32" s="13">
        <f t="shared" si="7"/>
        <v>2.1015712682379348</v>
      </c>
      <c r="H32" s="13">
        <f t="shared" si="8"/>
        <v>7.6958378062495808E-2</v>
      </c>
    </row>
    <row r="33" spans="1:10" x14ac:dyDescent="0.25">
      <c r="A33" s="3" t="s">
        <v>23</v>
      </c>
      <c r="B33" s="10">
        <v>9222</v>
      </c>
      <c r="C33" s="11">
        <f t="shared" si="6"/>
        <v>3.170041696601366E-2</v>
      </c>
      <c r="E33" s="37">
        <v>12.14</v>
      </c>
      <c r="F33" s="13">
        <v>33.81</v>
      </c>
      <c r="G33" s="13">
        <f t="shared" si="7"/>
        <v>2.7850082372322902</v>
      </c>
      <c r="H33" s="13">
        <f t="shared" si="8"/>
        <v>8.8285922374046283E-2</v>
      </c>
    </row>
    <row r="34" spans="1:10" x14ac:dyDescent="0.25">
      <c r="A34" s="3" t="s">
        <v>24</v>
      </c>
      <c r="B34" s="10">
        <v>10338</v>
      </c>
      <c r="C34" s="11">
        <f t="shared" si="6"/>
        <v>3.5536641790788248E-2</v>
      </c>
      <c r="E34" s="37">
        <v>16.12</v>
      </c>
      <c r="F34" s="13">
        <v>36.74</v>
      </c>
      <c r="G34" s="13">
        <f t="shared" si="7"/>
        <v>2.2791563275434243</v>
      </c>
      <c r="H34" s="13">
        <f t="shared" si="8"/>
        <v>8.0993561997119129E-2</v>
      </c>
    </row>
    <row r="35" spans="1:10" x14ac:dyDescent="0.25">
      <c r="A35" s="3" t="s">
        <v>25</v>
      </c>
      <c r="B35" s="10">
        <v>15061</v>
      </c>
      <c r="C35" s="11">
        <f t="shared" si="6"/>
        <v>5.1771847747249161E-2</v>
      </c>
      <c r="E35" s="37">
        <v>13.85</v>
      </c>
      <c r="F35" s="13">
        <v>37.01</v>
      </c>
      <c r="G35" s="13">
        <f t="shared" si="7"/>
        <v>2.6722021660649817</v>
      </c>
      <c r="H35" s="13">
        <f t="shared" si="8"/>
        <v>0.13834484369138567</v>
      </c>
    </row>
    <row r="36" spans="1:10" x14ac:dyDescent="0.25">
      <c r="A36" s="3" t="s">
        <v>26</v>
      </c>
      <c r="B36" s="10">
        <v>14835</v>
      </c>
      <c r="C36" s="11">
        <f t="shared" si="6"/>
        <v>5.0994977845457888E-2</v>
      </c>
      <c r="E36" s="37">
        <v>17.64</v>
      </c>
      <c r="F36" s="13">
        <v>43.11</v>
      </c>
      <c r="G36" s="13">
        <f t="shared" si="7"/>
        <v>2.443877551020408</v>
      </c>
      <c r="H36" s="13">
        <f t="shared" si="8"/>
        <v>0.12462548157129759</v>
      </c>
    </row>
    <row r="37" spans="1:10" x14ac:dyDescent="0.25">
      <c r="A37" s="3" t="s">
        <v>27</v>
      </c>
      <c r="B37" s="10">
        <v>9290</v>
      </c>
      <c r="C37" s="11">
        <f t="shared" si="6"/>
        <v>3.1934165432039349E-2</v>
      </c>
      <c r="E37" s="37">
        <v>12.62</v>
      </c>
      <c r="F37" s="13">
        <v>30.81</v>
      </c>
      <c r="G37" s="13">
        <f t="shared" si="7"/>
        <v>2.441362916006339</v>
      </c>
      <c r="H37" s="13">
        <f t="shared" si="8"/>
        <v>7.7962887239392417E-2</v>
      </c>
    </row>
    <row r="38" spans="1:10" x14ac:dyDescent="0.25">
      <c r="A38" s="3" t="s">
        <v>28</v>
      </c>
      <c r="B38" s="10">
        <v>6836</v>
      </c>
      <c r="C38" s="11">
        <f t="shared" si="6"/>
        <v>2.3498595790465125E-2</v>
      </c>
      <c r="E38" s="37">
        <v>11.1</v>
      </c>
      <c r="F38" s="13">
        <v>28.07</v>
      </c>
      <c r="G38" s="13">
        <f t="shared" si="7"/>
        <v>2.528828828828829</v>
      </c>
      <c r="H38" s="13">
        <f t="shared" si="8"/>
        <v>5.9423926471923974E-2</v>
      </c>
    </row>
    <row r="39" spans="1:10" x14ac:dyDescent="0.25">
      <c r="A39" s="20" t="s">
        <v>0</v>
      </c>
      <c r="B39" s="21">
        <f>SUM(B25:B38)</f>
        <v>290911</v>
      </c>
      <c r="C39" s="22">
        <f t="shared" si="6"/>
        <v>1</v>
      </c>
      <c r="D39" s="18"/>
      <c r="E39" s="18"/>
      <c r="F39" s="18"/>
      <c r="G39" s="39"/>
      <c r="H39" s="19">
        <f>SUM(H25:H38)</f>
        <v>2.9226476078373302</v>
      </c>
    </row>
    <row r="42" spans="1:10" x14ac:dyDescent="0.25">
      <c r="A42" s="9" t="s">
        <v>945</v>
      </c>
    </row>
    <row r="43" spans="1:10" x14ac:dyDescent="0.25">
      <c r="A43" s="3" t="s">
        <v>29</v>
      </c>
      <c r="B43" s="10">
        <v>13368</v>
      </c>
      <c r="C43" s="23">
        <f>B43/B$114</f>
        <v>8.0794063981307618E-3</v>
      </c>
      <c r="E43" s="37">
        <v>3.58</v>
      </c>
      <c r="F43" s="13">
        <v>5.56</v>
      </c>
      <c r="G43" s="13">
        <f>F43/E43</f>
        <v>1.5530726256983238</v>
      </c>
      <c r="H43" s="13">
        <f t="shared" ref="H43:H106" si="9">G43*C43</f>
        <v>1.254790490882878E-2</v>
      </c>
      <c r="J43" s="24"/>
    </row>
    <row r="44" spans="1:10" x14ac:dyDescent="0.25">
      <c r="A44" s="3" t="s">
        <v>30</v>
      </c>
      <c r="B44" s="10">
        <v>12014</v>
      </c>
      <c r="C44" s="23">
        <f t="shared" ref="C44:C108" si="10">B44/B$114</f>
        <v>7.2610703521202094E-3</v>
      </c>
      <c r="E44" s="37">
        <v>9.82</v>
      </c>
      <c r="F44" s="13">
        <v>19.84</v>
      </c>
      <c r="G44" s="13">
        <f t="shared" ref="G44:G160" si="11">F44/E44</f>
        <v>2.0203665987780042</v>
      </c>
      <c r="H44" s="13">
        <f t="shared" si="9"/>
        <v>1.4670024010800913E-2</v>
      </c>
    </row>
    <row r="45" spans="1:10" x14ac:dyDescent="0.25">
      <c r="A45" s="3" t="s">
        <v>31</v>
      </c>
      <c r="B45" s="10">
        <v>19946</v>
      </c>
      <c r="C45" s="23">
        <f t="shared" si="10"/>
        <v>1.2055044884583794E-2</v>
      </c>
      <c r="E45" s="37">
        <v>5.54</v>
      </c>
      <c r="F45" s="13">
        <v>11.54</v>
      </c>
      <c r="G45" s="13">
        <f t="shared" si="11"/>
        <v>2.0830324909747291</v>
      </c>
      <c r="H45" s="13">
        <f t="shared" si="9"/>
        <v>2.5111050174746748E-2</v>
      </c>
    </row>
    <row r="46" spans="1:10" x14ac:dyDescent="0.25">
      <c r="A46" s="3" t="s">
        <v>32</v>
      </c>
      <c r="B46" s="10">
        <v>13416</v>
      </c>
      <c r="C46" s="23">
        <f t="shared" si="10"/>
        <v>8.108416834030692E-3</v>
      </c>
      <c r="E46" s="37">
        <v>14.55</v>
      </c>
      <c r="F46" s="13">
        <v>28.5</v>
      </c>
      <c r="G46" s="13">
        <f t="shared" si="11"/>
        <v>1.9587628865979381</v>
      </c>
      <c r="H46" s="13">
        <f t="shared" si="9"/>
        <v>1.5882465963565271E-2</v>
      </c>
    </row>
    <row r="47" spans="1:10" x14ac:dyDescent="0.25">
      <c r="A47" s="3" t="s">
        <v>33</v>
      </c>
      <c r="B47" s="10">
        <f>'[1]Hilfsrechn. Gemeindeverz.'!C55</f>
        <v>6571</v>
      </c>
      <c r="C47" s="23">
        <f t="shared" si="10"/>
        <v>3.9714077978842931E-3</v>
      </c>
      <c r="E47" s="37">
        <v>12.82</v>
      </c>
      <c r="F47" s="13">
        <v>23.83</v>
      </c>
      <c r="G47" s="13">
        <f t="shared" si="11"/>
        <v>1.8588143525741028</v>
      </c>
      <c r="H47" s="13">
        <f t="shared" si="9"/>
        <v>7.382109814632035E-3</v>
      </c>
    </row>
    <row r="48" spans="1:10" x14ac:dyDescent="0.25">
      <c r="A48" s="3" t="s">
        <v>34</v>
      </c>
      <c r="B48" s="10">
        <f>'[1]Hilfsrechn. Gemeindeverz.'!D55</f>
        <v>10893</v>
      </c>
      <c r="C48" s="23">
        <f t="shared" si="10"/>
        <v>6.5835557970405729E-3</v>
      </c>
      <c r="E48" s="37">
        <v>5.17</v>
      </c>
      <c r="F48" s="13">
        <v>10.88</v>
      </c>
      <c r="G48" s="13">
        <f>F48/E48</f>
        <v>2.1044487427466154</v>
      </c>
      <c r="H48" s="13">
        <f t="shared" si="9"/>
        <v>1.3854755719884225E-2</v>
      </c>
    </row>
    <row r="49" spans="1:8" x14ac:dyDescent="0.25">
      <c r="A49" s="3" t="s">
        <v>35</v>
      </c>
      <c r="B49" s="10">
        <v>19265</v>
      </c>
      <c r="C49" s="23">
        <f t="shared" si="10"/>
        <v>1.1643459325253524E-2</v>
      </c>
      <c r="E49" s="37">
        <v>2.1800000000000002</v>
      </c>
      <c r="F49" s="13">
        <v>11.46</v>
      </c>
      <c r="G49" s="13">
        <f t="shared" si="11"/>
        <v>5.2568807339449544</v>
      </c>
      <c r="H49" s="13">
        <f t="shared" si="9"/>
        <v>6.1208277003396969E-2</v>
      </c>
    </row>
    <row r="50" spans="1:8" x14ac:dyDescent="0.25">
      <c r="A50" s="3" t="s">
        <v>36</v>
      </c>
      <c r="B50" s="10">
        <v>25179</v>
      </c>
      <c r="C50" s="23">
        <f t="shared" si="10"/>
        <v>1.5217786781757513E-2</v>
      </c>
      <c r="E50" s="37">
        <v>7.54</v>
      </c>
      <c r="F50" s="13">
        <v>24.88</v>
      </c>
      <c r="G50" s="13">
        <f t="shared" si="11"/>
        <v>3.2997347480106098</v>
      </c>
      <c r="H50" s="13">
        <f t="shared" si="9"/>
        <v>5.0214659831581819E-2</v>
      </c>
    </row>
    <row r="51" spans="1:8" x14ac:dyDescent="0.25">
      <c r="A51" s="3" t="s">
        <v>37</v>
      </c>
      <c r="B51" s="10">
        <v>13531</v>
      </c>
      <c r="C51" s="23">
        <f t="shared" si="10"/>
        <v>8.177921003374276E-3</v>
      </c>
      <c r="E51" s="37">
        <v>12.5</v>
      </c>
      <c r="F51" s="13">
        <v>26.9</v>
      </c>
      <c r="G51" s="13">
        <f t="shared" si="11"/>
        <v>2.1519999999999997</v>
      </c>
      <c r="H51" s="13">
        <f t="shared" si="9"/>
        <v>1.7598885999261439E-2</v>
      </c>
    </row>
    <row r="52" spans="1:8" x14ac:dyDescent="0.25">
      <c r="A52" s="3" t="s">
        <v>38</v>
      </c>
      <c r="B52" s="10">
        <v>10810</v>
      </c>
      <c r="C52" s="23">
        <f t="shared" si="10"/>
        <v>6.5333919182969423E-3</v>
      </c>
      <c r="E52" s="37">
        <v>10.42</v>
      </c>
      <c r="F52" s="13">
        <v>34.11</v>
      </c>
      <c r="G52" s="13">
        <f t="shared" si="11"/>
        <v>3.2735124760076775</v>
      </c>
      <c r="H52" s="13">
        <f t="shared" si="9"/>
        <v>2.1387139955192775E-2</v>
      </c>
    </row>
    <row r="53" spans="1:8" x14ac:dyDescent="0.25">
      <c r="A53" s="3" t="s">
        <v>39</v>
      </c>
      <c r="B53" s="10">
        <v>12114</v>
      </c>
      <c r="C53" s="23">
        <f t="shared" si="10"/>
        <v>7.3215087602450657E-3</v>
      </c>
      <c r="E53" s="37">
        <v>11.63</v>
      </c>
      <c r="F53" s="13">
        <v>26.54</v>
      </c>
      <c r="G53" s="13">
        <f t="shared" si="11"/>
        <v>2.2820292347377471</v>
      </c>
      <c r="H53" s="13">
        <f t="shared" si="9"/>
        <v>1.6707897033267759E-2</v>
      </c>
    </row>
    <row r="54" spans="1:8" x14ac:dyDescent="0.25">
      <c r="A54" s="3" t="s">
        <v>40</v>
      </c>
      <c r="B54" s="10">
        <v>29925</v>
      </c>
      <c r="C54" s="23">
        <f t="shared" si="10"/>
        <v>1.8086193631363181E-2</v>
      </c>
      <c r="E54" s="37">
        <v>9.5</v>
      </c>
      <c r="F54" s="13">
        <v>24.87</v>
      </c>
      <c r="G54" s="13">
        <f t="shared" si="11"/>
        <v>2.6178947368421053</v>
      </c>
      <c r="H54" s="13">
        <f t="shared" si="9"/>
        <v>4.7347751117052875E-2</v>
      </c>
    </row>
    <row r="55" spans="1:8" x14ac:dyDescent="0.25">
      <c r="A55" s="3" t="s">
        <v>41</v>
      </c>
      <c r="B55" s="10">
        <v>21712</v>
      </c>
      <c r="C55" s="23">
        <f t="shared" si="10"/>
        <v>1.3122387172068753E-2</v>
      </c>
      <c r="E55" s="37">
        <v>11.68</v>
      </c>
      <c r="F55" s="13">
        <v>27.81</v>
      </c>
      <c r="G55" s="13">
        <f t="shared" si="11"/>
        <v>2.3809931506849313</v>
      </c>
      <c r="H55" s="13">
        <f t="shared" si="9"/>
        <v>3.1244313977331507E-2</v>
      </c>
    </row>
    <row r="56" spans="1:8" x14ac:dyDescent="0.25">
      <c r="A56" s="3" t="s">
        <v>42</v>
      </c>
      <c r="B56" s="10">
        <v>18818</v>
      </c>
      <c r="C56" s="23">
        <f t="shared" si="10"/>
        <v>1.1373299640935417E-2</v>
      </c>
      <c r="E56" s="37">
        <v>2.5299999999999998</v>
      </c>
      <c r="F56" s="13">
        <v>11.16</v>
      </c>
      <c r="G56" s="13">
        <f t="shared" si="11"/>
        <v>4.4110671936758896</v>
      </c>
      <c r="H56" s="13">
        <f t="shared" si="9"/>
        <v>5.0168388929975993E-2</v>
      </c>
    </row>
    <row r="57" spans="1:8" x14ac:dyDescent="0.25">
      <c r="A57" s="3" t="s">
        <v>43</v>
      </c>
      <c r="B57" s="10">
        <v>14057</v>
      </c>
      <c r="C57" s="23">
        <f t="shared" si="10"/>
        <v>8.4958270301110188E-3</v>
      </c>
      <c r="E57" s="37">
        <v>1.45</v>
      </c>
      <c r="F57" s="13">
        <v>12.44</v>
      </c>
      <c r="G57" s="13">
        <f t="shared" si="11"/>
        <v>8.5793103448275865</v>
      </c>
      <c r="H57" s="13">
        <f t="shared" si="9"/>
        <v>7.288833672729729E-2</v>
      </c>
    </row>
    <row r="58" spans="1:8" x14ac:dyDescent="0.25">
      <c r="A58" s="3" t="s">
        <v>44</v>
      </c>
      <c r="B58" s="10">
        <v>20387</v>
      </c>
      <c r="C58" s="23">
        <f t="shared" si="10"/>
        <v>1.2321578264414408E-2</v>
      </c>
      <c r="E58" s="37">
        <v>1.58</v>
      </c>
      <c r="F58" s="13">
        <v>5.27</v>
      </c>
      <c r="G58" s="13">
        <f t="shared" si="11"/>
        <v>3.3354430379746831</v>
      </c>
      <c r="H58" s="13">
        <f t="shared" si="9"/>
        <v>4.1097922438901216E-2</v>
      </c>
    </row>
    <row r="59" spans="1:8" x14ac:dyDescent="0.25">
      <c r="A59" s="3" t="s">
        <v>45</v>
      </c>
      <c r="B59" s="10">
        <v>11825</v>
      </c>
      <c r="C59" s="23">
        <f t="shared" si="10"/>
        <v>7.1468417607642313E-3</v>
      </c>
      <c r="E59" s="37">
        <v>8</v>
      </c>
      <c r="F59" s="13">
        <v>24.62</v>
      </c>
      <c r="G59" s="13">
        <f t="shared" si="11"/>
        <v>3.0775000000000001</v>
      </c>
      <c r="H59" s="13">
        <f t="shared" si="9"/>
        <v>2.1994405518751921E-2</v>
      </c>
    </row>
    <row r="60" spans="1:8" x14ac:dyDescent="0.25">
      <c r="A60" s="3" t="s">
        <v>46</v>
      </c>
      <c r="B60" s="10">
        <v>15676</v>
      </c>
      <c r="C60" s="23">
        <f t="shared" si="10"/>
        <v>9.4743248576524396E-3</v>
      </c>
      <c r="E60" s="37">
        <v>8.51</v>
      </c>
      <c r="F60" s="13">
        <v>25.65</v>
      </c>
      <c r="G60" s="13">
        <f t="shared" si="11"/>
        <v>3.0141010575793183</v>
      </c>
      <c r="H60" s="13">
        <f t="shared" si="9"/>
        <v>2.8556572573300243E-2</v>
      </c>
    </row>
    <row r="61" spans="1:8" x14ac:dyDescent="0.25">
      <c r="A61" s="3" t="s">
        <v>47</v>
      </c>
      <c r="B61" s="10">
        <v>12257</v>
      </c>
      <c r="C61" s="23">
        <f t="shared" si="10"/>
        <v>7.4079356838636099E-3</v>
      </c>
      <c r="E61" s="37">
        <v>14.37</v>
      </c>
      <c r="F61" s="13">
        <v>34.049999999999997</v>
      </c>
      <c r="G61" s="13">
        <f t="shared" si="11"/>
        <v>2.3695198329853859</v>
      </c>
      <c r="H61" s="13">
        <f t="shared" si="9"/>
        <v>1.7553250524394982E-2</v>
      </c>
    </row>
    <row r="62" spans="1:8" x14ac:dyDescent="0.25">
      <c r="A62" s="3" t="s">
        <v>48</v>
      </c>
      <c r="B62" s="10">
        <v>10037</v>
      </c>
      <c r="C62" s="23">
        <f t="shared" si="10"/>
        <v>6.0662030234918049E-3</v>
      </c>
      <c r="E62" s="37">
        <v>6.03</v>
      </c>
      <c r="F62" s="13">
        <v>28.72</v>
      </c>
      <c r="G62" s="13">
        <f t="shared" si="11"/>
        <v>4.7628524046434491</v>
      </c>
      <c r="H62" s="13">
        <f t="shared" si="9"/>
        <v>2.8892429657493304E-2</v>
      </c>
    </row>
    <row r="63" spans="1:8" x14ac:dyDescent="0.25">
      <c r="A63" s="3" t="s">
        <v>49</v>
      </c>
      <c r="B63" s="10">
        <v>31489</v>
      </c>
      <c r="C63" s="23">
        <f t="shared" si="10"/>
        <v>1.9031450334435932E-2</v>
      </c>
      <c r="E63" s="37">
        <v>7.04</v>
      </c>
      <c r="F63" s="13">
        <v>16.55</v>
      </c>
      <c r="G63" s="13">
        <f t="shared" si="11"/>
        <v>2.3508522727272729</v>
      </c>
      <c r="H63" s="13">
        <f t="shared" si="9"/>
        <v>4.474012827200493E-2</v>
      </c>
    </row>
    <row r="64" spans="1:8" x14ac:dyDescent="0.25">
      <c r="A64" s="3" t="s">
        <v>50</v>
      </c>
      <c r="B64" s="10">
        <v>21099</v>
      </c>
      <c r="C64" s="23">
        <f t="shared" si="10"/>
        <v>1.2751899730263385E-2</v>
      </c>
      <c r="E64" s="37">
        <v>2.88</v>
      </c>
      <c r="F64" s="13">
        <v>10.76</v>
      </c>
      <c r="G64" s="13">
        <f t="shared" si="11"/>
        <v>3.7361111111111112</v>
      </c>
      <c r="H64" s="13">
        <f t="shared" si="9"/>
        <v>4.7642514270011815E-2</v>
      </c>
    </row>
    <row r="65" spans="1:8" x14ac:dyDescent="0.25">
      <c r="A65" s="3" t="s">
        <v>51</v>
      </c>
      <c r="B65" s="10">
        <v>18350</v>
      </c>
      <c r="C65" s="23">
        <f t="shared" si="10"/>
        <v>1.1090447890911091E-2</v>
      </c>
      <c r="E65" s="37">
        <v>3.88</v>
      </c>
      <c r="F65" s="13">
        <v>10.96</v>
      </c>
      <c r="G65" s="13">
        <f t="shared" si="11"/>
        <v>2.8247422680412373</v>
      </c>
      <c r="H65" s="13">
        <f t="shared" si="9"/>
        <v>3.1327656928965351E-2</v>
      </c>
    </row>
    <row r="66" spans="1:8" x14ac:dyDescent="0.25">
      <c r="A66" s="3" t="s">
        <v>52</v>
      </c>
      <c r="B66" s="10">
        <v>13918</v>
      </c>
      <c r="C66" s="23">
        <f t="shared" si="10"/>
        <v>8.4118176428174696E-3</v>
      </c>
      <c r="E66" s="37">
        <v>9.57</v>
      </c>
      <c r="F66" s="13">
        <v>23.76</v>
      </c>
      <c r="G66" s="13">
        <f t="shared" si="11"/>
        <v>2.4827586206896552</v>
      </c>
      <c r="H66" s="13">
        <f t="shared" si="9"/>
        <v>2.0884512768374407E-2</v>
      </c>
    </row>
    <row r="67" spans="1:8" x14ac:dyDescent="0.25">
      <c r="A67" s="3" t="s">
        <v>53</v>
      </c>
      <c r="B67" s="10">
        <v>10811</v>
      </c>
      <c r="C67" s="23">
        <f t="shared" si="10"/>
        <v>6.5339963023781913E-3</v>
      </c>
      <c r="E67" s="37">
        <v>7.91</v>
      </c>
      <c r="F67" s="13">
        <v>21.51</v>
      </c>
      <c r="G67" s="13">
        <f t="shared" si="11"/>
        <v>2.7193426042983568</v>
      </c>
      <c r="H67" s="13">
        <f t="shared" si="9"/>
        <v>1.7768174521384943E-2</v>
      </c>
    </row>
    <row r="68" spans="1:8" x14ac:dyDescent="0.25">
      <c r="A68" s="3" t="s">
        <v>54</v>
      </c>
      <c r="B68" s="10">
        <v>17414</v>
      </c>
      <c r="C68" s="23">
        <f t="shared" si="10"/>
        <v>1.0524744390862439E-2</v>
      </c>
      <c r="E68" s="37">
        <v>7.45</v>
      </c>
      <c r="F68" s="13">
        <v>22.74</v>
      </c>
      <c r="G68" s="13">
        <f t="shared" si="11"/>
        <v>3.0523489932885903</v>
      </c>
      <c r="H68" s="13">
        <f t="shared" si="9"/>
        <v>3.2125192946068699E-2</v>
      </c>
    </row>
    <row r="69" spans="1:8" x14ac:dyDescent="0.25">
      <c r="A69" s="3" t="s">
        <v>55</v>
      </c>
      <c r="B69" s="10">
        <v>16528</v>
      </c>
      <c r="C69" s="23">
        <f t="shared" si="10"/>
        <v>9.9892600948762126E-3</v>
      </c>
      <c r="E69" s="37">
        <v>3.64</v>
      </c>
      <c r="F69" s="13">
        <v>9.06</v>
      </c>
      <c r="G69" s="13">
        <f t="shared" si="11"/>
        <v>2.4890109890109891</v>
      </c>
      <c r="H69" s="13">
        <f t="shared" si="9"/>
        <v>2.4863378148235849E-2</v>
      </c>
    </row>
    <row r="70" spans="1:8" x14ac:dyDescent="0.25">
      <c r="A70" s="3" t="s">
        <v>56</v>
      </c>
      <c r="B70" s="10">
        <v>17103</v>
      </c>
      <c r="C70" s="23">
        <f t="shared" si="10"/>
        <v>1.0336780941594136E-2</v>
      </c>
      <c r="E70" s="37">
        <v>7.72</v>
      </c>
      <c r="F70" s="13">
        <v>20.83</v>
      </c>
      <c r="G70" s="13">
        <f t="shared" si="11"/>
        <v>2.6981865284974091</v>
      </c>
      <c r="H70" s="13">
        <f t="shared" si="9"/>
        <v>2.7890563084638064E-2</v>
      </c>
    </row>
    <row r="71" spans="1:8" x14ac:dyDescent="0.25">
      <c r="A71" s="3" t="s">
        <v>57</v>
      </c>
      <c r="B71" s="10">
        <v>15570</v>
      </c>
      <c r="C71" s="23">
        <f t="shared" si="10"/>
        <v>9.4102601450400912E-3</v>
      </c>
      <c r="E71" s="37">
        <v>9.61</v>
      </c>
      <c r="F71" s="13">
        <v>21.12</v>
      </c>
      <c r="G71" s="13">
        <f t="shared" si="11"/>
        <v>2.1977107180020816</v>
      </c>
      <c r="H71" s="13">
        <f t="shared" si="9"/>
        <v>2.0681029579942431E-2</v>
      </c>
    </row>
    <row r="72" spans="1:8" x14ac:dyDescent="0.25">
      <c r="A72" s="3" t="s">
        <v>58</v>
      </c>
      <c r="B72" s="10">
        <v>10670</v>
      </c>
      <c r="C72" s="23">
        <f t="shared" si="10"/>
        <v>6.4487781469221442E-3</v>
      </c>
      <c r="E72" s="37">
        <v>10.33</v>
      </c>
      <c r="F72" s="13">
        <v>26.34</v>
      </c>
      <c r="G72" s="13">
        <f t="shared" si="11"/>
        <v>2.5498547918683445</v>
      </c>
      <c r="H72" s="13">
        <f t="shared" si="9"/>
        <v>1.6443447859625291E-2</v>
      </c>
    </row>
    <row r="73" spans="1:8" x14ac:dyDescent="0.25">
      <c r="A73" s="3" t="s">
        <v>59</v>
      </c>
      <c r="B73" s="10">
        <v>20042</v>
      </c>
      <c r="C73" s="23">
        <f t="shared" si="10"/>
        <v>1.2113065756383656E-2</v>
      </c>
      <c r="E73" s="37">
        <v>13.42</v>
      </c>
      <c r="F73" s="13">
        <v>23.08</v>
      </c>
      <c r="G73" s="13">
        <f t="shared" si="11"/>
        <v>1.7198211624441131</v>
      </c>
      <c r="H73" s="13">
        <f t="shared" si="9"/>
        <v>2.0832306829905719E-2</v>
      </c>
    </row>
    <row r="74" spans="1:8" x14ac:dyDescent="0.25">
      <c r="A74" s="3" t="s">
        <v>60</v>
      </c>
      <c r="B74" s="10">
        <v>17539</v>
      </c>
      <c r="C74" s="23">
        <f t="shared" si="10"/>
        <v>1.0600292401018507E-2</v>
      </c>
      <c r="E74" s="37">
        <v>7.24</v>
      </c>
      <c r="F74" s="13">
        <v>23.17</v>
      </c>
      <c r="G74" s="13">
        <f t="shared" si="11"/>
        <v>3.2002762430939229</v>
      </c>
      <c r="H74" s="13">
        <f t="shared" si="9"/>
        <v>3.3923863940828566E-2</v>
      </c>
    </row>
    <row r="75" spans="1:8" x14ac:dyDescent="0.25">
      <c r="A75" s="3" t="s">
        <v>61</v>
      </c>
      <c r="B75" s="10">
        <v>14793</v>
      </c>
      <c r="C75" s="23">
        <f t="shared" si="10"/>
        <v>8.9406537139099605E-3</v>
      </c>
      <c r="E75" s="37">
        <v>13.5</v>
      </c>
      <c r="F75" s="13">
        <v>34.6</v>
      </c>
      <c r="G75" s="13">
        <f t="shared" si="11"/>
        <v>2.5629629629629629</v>
      </c>
      <c r="H75" s="13">
        <f t="shared" si="9"/>
        <v>2.2914564333428492E-2</v>
      </c>
    </row>
    <row r="76" spans="1:8" x14ac:dyDescent="0.25">
      <c r="A76" s="3" t="s">
        <v>62</v>
      </c>
      <c r="B76" s="10">
        <v>18967</v>
      </c>
      <c r="C76" s="23">
        <f t="shared" si="10"/>
        <v>1.1463352869041453E-2</v>
      </c>
      <c r="E76" s="37">
        <v>13.51</v>
      </c>
      <c r="F76" s="13">
        <v>25.33</v>
      </c>
      <c r="G76" s="13">
        <f t="shared" si="11"/>
        <v>1.8749074759437452</v>
      </c>
      <c r="H76" s="13">
        <f t="shared" si="9"/>
        <v>2.1492725993546999E-2</v>
      </c>
    </row>
    <row r="77" spans="1:8" x14ac:dyDescent="0.25">
      <c r="A77" s="3" t="s">
        <v>63</v>
      </c>
      <c r="B77" s="10">
        <v>26205</v>
      </c>
      <c r="C77" s="23">
        <f t="shared" si="10"/>
        <v>1.5837884849118536E-2</v>
      </c>
      <c r="E77" s="37">
        <v>8.1999999999999993</v>
      </c>
      <c r="F77" s="13">
        <v>17.600000000000001</v>
      </c>
      <c r="G77" s="13">
        <f t="shared" si="11"/>
        <v>2.1463414634146347</v>
      </c>
      <c r="H77" s="13">
        <f t="shared" si="9"/>
        <v>3.3993508944449552E-2</v>
      </c>
    </row>
    <row r="78" spans="1:8" x14ac:dyDescent="0.25">
      <c r="A78" s="3" t="s">
        <v>64</v>
      </c>
      <c r="B78" s="10">
        <v>18030</v>
      </c>
      <c r="C78" s="23">
        <f t="shared" si="10"/>
        <v>1.0897044984911551E-2</v>
      </c>
      <c r="E78" s="37">
        <v>8.32</v>
      </c>
      <c r="F78" s="13">
        <v>23.01</v>
      </c>
      <c r="G78" s="13">
        <f t="shared" si="11"/>
        <v>2.765625</v>
      </c>
      <c r="H78" s="13">
        <f t="shared" si="9"/>
        <v>3.0137140036396011E-2</v>
      </c>
    </row>
    <row r="79" spans="1:8" x14ac:dyDescent="0.25">
      <c r="A79" s="3" t="s">
        <v>65</v>
      </c>
      <c r="B79" s="10">
        <v>29368</v>
      </c>
      <c r="C79" s="23">
        <f t="shared" si="10"/>
        <v>1.7749551698107734E-2</v>
      </c>
      <c r="E79" s="37">
        <v>13</v>
      </c>
      <c r="F79" s="13">
        <v>31.4</v>
      </c>
      <c r="G79" s="13">
        <f t="shared" si="11"/>
        <v>2.4153846153846152</v>
      </c>
      <c r="H79" s="13">
        <f t="shared" si="9"/>
        <v>4.2871994101583294E-2</v>
      </c>
    </row>
    <row r="80" spans="1:8" x14ac:dyDescent="0.25">
      <c r="A80" s="3" t="s">
        <v>66</v>
      </c>
      <c r="B80" s="10">
        <v>24064</v>
      </c>
      <c r="C80" s="23">
        <f t="shared" si="10"/>
        <v>1.4543898531165368E-2</v>
      </c>
      <c r="E80" s="37">
        <v>6.14</v>
      </c>
      <c r="F80" s="13">
        <v>15.68</v>
      </c>
      <c r="G80" s="13">
        <f t="shared" si="11"/>
        <v>2.5537459283387625</v>
      </c>
      <c r="H80" s="13">
        <f t="shared" si="9"/>
        <v>3.7141421656135667E-2</v>
      </c>
    </row>
    <row r="81" spans="1:8" x14ac:dyDescent="0.25">
      <c r="A81" s="3" t="s">
        <v>67</v>
      </c>
      <c r="B81" s="10">
        <v>17120</v>
      </c>
      <c r="C81" s="23">
        <f t="shared" si="10"/>
        <v>1.034705547097536E-2</v>
      </c>
      <c r="E81" s="37">
        <v>5.21</v>
      </c>
      <c r="F81" s="13">
        <v>11.71</v>
      </c>
      <c r="G81" s="13">
        <f t="shared" si="11"/>
        <v>2.2476007677543186</v>
      </c>
      <c r="H81" s="13">
        <f t="shared" si="9"/>
        <v>2.3256049820560742E-2</v>
      </c>
    </row>
    <row r="82" spans="1:8" x14ac:dyDescent="0.25">
      <c r="A82" s="3" t="s">
        <v>68</v>
      </c>
      <c r="B82" s="10">
        <v>24934</v>
      </c>
      <c r="C82" s="23">
        <f t="shared" si="10"/>
        <v>1.5069712681851616E-2</v>
      </c>
      <c r="E82" s="37">
        <v>5.31</v>
      </c>
      <c r="F82" s="13">
        <v>13.62</v>
      </c>
      <c r="G82" s="13">
        <f t="shared" si="11"/>
        <v>2.5649717514124295</v>
      </c>
      <c r="H82" s="13">
        <f t="shared" si="9"/>
        <v>3.8653387330851038E-2</v>
      </c>
    </row>
    <row r="83" spans="1:8" x14ac:dyDescent="0.25">
      <c r="A83" s="3" t="s">
        <v>69</v>
      </c>
      <c r="B83" s="10">
        <v>20490</v>
      </c>
      <c r="C83" s="23">
        <f t="shared" si="10"/>
        <v>1.2383829824783012E-2</v>
      </c>
      <c r="E83" s="37">
        <v>4.84</v>
      </c>
      <c r="F83" s="13">
        <v>12.41</v>
      </c>
      <c r="G83" s="13">
        <f t="shared" si="11"/>
        <v>2.5640495867768598</v>
      </c>
      <c r="H83" s="13">
        <f t="shared" si="9"/>
        <v>3.1752753744949833E-2</v>
      </c>
    </row>
    <row r="84" spans="1:8" x14ac:dyDescent="0.25">
      <c r="A84" s="3" t="s">
        <v>70</v>
      </c>
      <c r="B84" s="10">
        <v>15378</v>
      </c>
      <c r="C84" s="23">
        <f t="shared" si="10"/>
        <v>9.2942184014403687E-3</v>
      </c>
      <c r="E84" s="37">
        <v>2.91</v>
      </c>
      <c r="F84" s="13">
        <v>10.66</v>
      </c>
      <c r="G84" s="13">
        <f t="shared" si="11"/>
        <v>3.663230240549828</v>
      </c>
      <c r="H84" s="13">
        <f t="shared" si="9"/>
        <v>3.4046861910431041E-2</v>
      </c>
    </row>
    <row r="85" spans="1:8" x14ac:dyDescent="0.25">
      <c r="A85" s="3" t="s">
        <v>71</v>
      </c>
      <c r="B85" s="10">
        <v>13807</v>
      </c>
      <c r="C85" s="23">
        <f t="shared" si="10"/>
        <v>8.3447310097988798E-3</v>
      </c>
      <c r="E85" s="37">
        <v>7.39</v>
      </c>
      <c r="F85" s="13">
        <v>17.16</v>
      </c>
      <c r="G85" s="13">
        <f t="shared" si="11"/>
        <v>2.3220568335588636</v>
      </c>
      <c r="H85" s="13">
        <f t="shared" si="9"/>
        <v>1.9376939665514046E-2</v>
      </c>
    </row>
    <row r="86" spans="1:8" x14ac:dyDescent="0.25">
      <c r="A86" s="3" t="s">
        <v>72</v>
      </c>
      <c r="B86" s="10">
        <v>8124</v>
      </c>
      <c r="C86" s="23">
        <f t="shared" si="10"/>
        <v>4.9100162760633082E-3</v>
      </c>
      <c r="E86" s="37">
        <v>3.51</v>
      </c>
      <c r="F86" s="13">
        <v>11.8</v>
      </c>
      <c r="G86" s="13">
        <f t="shared" si="11"/>
        <v>3.3618233618233622</v>
      </c>
      <c r="H86" s="13">
        <f t="shared" si="9"/>
        <v>1.6506607423802576E-2</v>
      </c>
    </row>
    <row r="87" spans="1:8" x14ac:dyDescent="0.25">
      <c r="A87" s="3" t="s">
        <v>73</v>
      </c>
      <c r="B87" s="10">
        <v>12778</v>
      </c>
      <c r="C87" s="23">
        <f t="shared" si="10"/>
        <v>7.7228197901941104E-3</v>
      </c>
      <c r="E87" s="37">
        <v>7.22</v>
      </c>
      <c r="F87" s="13">
        <v>21.17</v>
      </c>
      <c r="G87" s="13">
        <f t="shared" si="11"/>
        <v>2.93213296398892</v>
      </c>
      <c r="H87" s="13">
        <f t="shared" si="9"/>
        <v>2.2644334481774147E-2</v>
      </c>
    </row>
    <row r="88" spans="1:8" x14ac:dyDescent="0.25">
      <c r="A88" s="3" t="s">
        <v>74</v>
      </c>
      <c r="B88" s="10">
        <v>14256</v>
      </c>
      <c r="C88" s="23">
        <f t="shared" si="10"/>
        <v>8.6160994622794824E-3</v>
      </c>
      <c r="E88" s="37">
        <v>7.57</v>
      </c>
      <c r="F88" s="13">
        <v>17.43</v>
      </c>
      <c r="G88" s="13">
        <f t="shared" si="11"/>
        <v>2.3025099075297226</v>
      </c>
      <c r="H88" s="13">
        <f t="shared" si="9"/>
        <v>1.9838654376160024E-2</v>
      </c>
    </row>
    <row r="89" spans="1:8" x14ac:dyDescent="0.25">
      <c r="A89" s="3" t="s">
        <v>75</v>
      </c>
      <c r="B89" s="10">
        <v>8754</v>
      </c>
      <c r="C89" s="23">
        <f t="shared" si="10"/>
        <v>5.2907782472499014E-3</v>
      </c>
      <c r="E89" s="37">
        <v>10.11</v>
      </c>
      <c r="F89" s="13">
        <v>25.69</v>
      </c>
      <c r="G89" s="13">
        <f t="shared" si="11"/>
        <v>2.541048466864491</v>
      </c>
      <c r="H89" s="13">
        <f t="shared" si="9"/>
        <v>1.3444123953694362E-2</v>
      </c>
    </row>
    <row r="90" spans="1:8" x14ac:dyDescent="0.25">
      <c r="A90" s="3" t="s">
        <v>76</v>
      </c>
      <c r="B90" s="10">
        <v>11967</v>
      </c>
      <c r="C90" s="23">
        <f t="shared" si="10"/>
        <v>7.2326643003015273E-3</v>
      </c>
      <c r="E90" s="37">
        <v>11.4</v>
      </c>
      <c r="F90" s="13">
        <v>21.46</v>
      </c>
      <c r="G90" s="13">
        <f t="shared" si="11"/>
        <v>1.8824561403508773</v>
      </c>
      <c r="H90" s="13">
        <f t="shared" si="9"/>
        <v>1.3615173323199191E-2</v>
      </c>
    </row>
    <row r="91" spans="1:8" x14ac:dyDescent="0.25">
      <c r="A91" s="3" t="s">
        <v>77</v>
      </c>
      <c r="B91" s="10">
        <v>14065</v>
      </c>
      <c r="C91" s="23">
        <f t="shared" si="10"/>
        <v>8.5006621027610071E-3</v>
      </c>
      <c r="E91" s="37">
        <v>10.06</v>
      </c>
      <c r="F91" s="13">
        <v>20.420000000000002</v>
      </c>
      <c r="G91" s="13">
        <f t="shared" si="11"/>
        <v>2.0298210735586482</v>
      </c>
      <c r="H91" s="13">
        <f t="shared" si="9"/>
        <v>1.7254823075385662E-2</v>
      </c>
    </row>
    <row r="92" spans="1:8" x14ac:dyDescent="0.25">
      <c r="A92" s="3" t="s">
        <v>78</v>
      </c>
      <c r="B92" s="10">
        <v>12039</v>
      </c>
      <c r="C92" s="23">
        <f t="shared" si="10"/>
        <v>7.2761799541514235E-3</v>
      </c>
      <c r="E92" s="37">
        <v>16.91</v>
      </c>
      <c r="F92" s="13">
        <v>37.270000000000003</v>
      </c>
      <c r="G92" s="13">
        <f t="shared" si="11"/>
        <v>2.2040212891780016</v>
      </c>
      <c r="H92" s="13">
        <f t="shared" si="9"/>
        <v>1.6036855522839951E-2</v>
      </c>
    </row>
    <row r="93" spans="1:8" x14ac:dyDescent="0.25">
      <c r="A93" s="3" t="s">
        <v>79</v>
      </c>
      <c r="B93" s="10">
        <v>16445</v>
      </c>
      <c r="C93" s="23">
        <f t="shared" si="10"/>
        <v>9.939096216132582E-3</v>
      </c>
      <c r="E93" s="37">
        <v>11.05</v>
      </c>
      <c r="F93" s="13">
        <v>25.43</v>
      </c>
      <c r="G93" s="13">
        <f t="shared" si="11"/>
        <v>2.3013574660633482</v>
      </c>
      <c r="H93" s="13">
        <f t="shared" si="9"/>
        <v>2.2873413282918691E-2</v>
      </c>
    </row>
    <row r="94" spans="1:8" x14ac:dyDescent="0.25">
      <c r="A94" s="3" t="s">
        <v>80</v>
      </c>
      <c r="B94" s="10">
        <v>17373</v>
      </c>
      <c r="C94" s="23">
        <f t="shared" si="10"/>
        <v>1.0499964643531246E-2</v>
      </c>
      <c r="E94" s="37">
        <v>11.55</v>
      </c>
      <c r="F94" s="13">
        <v>27.74</v>
      </c>
      <c r="G94" s="13">
        <f t="shared" si="11"/>
        <v>2.4017316017316013</v>
      </c>
      <c r="H94" s="13">
        <f t="shared" si="9"/>
        <v>2.5218096901433482E-2</v>
      </c>
    </row>
    <row r="95" spans="1:8" x14ac:dyDescent="0.25">
      <c r="A95" s="3" t="s">
        <v>81</v>
      </c>
      <c r="B95" s="10">
        <v>10062</v>
      </c>
      <c r="C95" s="23">
        <f t="shared" si="10"/>
        <v>6.081312625523019E-3</v>
      </c>
      <c r="E95" s="37">
        <v>6.78</v>
      </c>
      <c r="F95" s="13">
        <v>18.66</v>
      </c>
      <c r="G95" s="13">
        <f t="shared" si="11"/>
        <v>2.752212389380531</v>
      </c>
      <c r="H95" s="13">
        <f t="shared" si="9"/>
        <v>1.6737063951660698E-2</v>
      </c>
    </row>
    <row r="96" spans="1:8" x14ac:dyDescent="0.25">
      <c r="A96" s="3" t="s">
        <v>82</v>
      </c>
      <c r="B96" s="10">
        <v>10583</v>
      </c>
      <c r="C96" s="23">
        <f t="shared" si="10"/>
        <v>6.3961967318535195E-3</v>
      </c>
      <c r="E96" s="37">
        <v>6.22</v>
      </c>
      <c r="F96" s="13">
        <v>29.1</v>
      </c>
      <c r="G96" s="13">
        <f t="shared" si="11"/>
        <v>4.6784565916398719</v>
      </c>
      <c r="H96" s="13">
        <f t="shared" si="9"/>
        <v>2.9924328761565505E-2</v>
      </c>
    </row>
    <row r="97" spans="1:8" x14ac:dyDescent="0.25">
      <c r="A97" s="3" t="s">
        <v>83</v>
      </c>
      <c r="B97" s="10">
        <v>11669</v>
      </c>
      <c r="C97" s="23">
        <f t="shared" si="10"/>
        <v>7.0525578440894564E-3</v>
      </c>
      <c r="E97" s="37">
        <v>7.15</v>
      </c>
      <c r="F97" s="13">
        <v>25.83</v>
      </c>
      <c r="G97" s="13">
        <f t="shared" si="11"/>
        <v>3.6125874125874122</v>
      </c>
      <c r="H97" s="13">
        <f t="shared" si="9"/>
        <v>2.5477981694102189E-2</v>
      </c>
    </row>
    <row r="98" spans="1:8" x14ac:dyDescent="0.25">
      <c r="A98" s="3" t="s">
        <v>84</v>
      </c>
      <c r="B98" s="10">
        <v>13139</v>
      </c>
      <c r="C98" s="23">
        <f t="shared" si="10"/>
        <v>7.9410024435248409E-3</v>
      </c>
      <c r="E98" s="37">
        <v>8.4700000000000006</v>
      </c>
      <c r="F98" s="13">
        <v>27.01</v>
      </c>
      <c r="G98" s="13">
        <f t="shared" si="11"/>
        <v>3.1889020070838252</v>
      </c>
      <c r="H98" s="13">
        <f t="shared" si="9"/>
        <v>2.5323078630413925E-2</v>
      </c>
    </row>
    <row r="99" spans="1:8" x14ac:dyDescent="0.25">
      <c r="A99" s="3" t="s">
        <v>85</v>
      </c>
      <c r="B99" s="10">
        <v>20615</v>
      </c>
      <c r="C99" s="23">
        <f t="shared" si="10"/>
        <v>1.245937783493908E-2</v>
      </c>
      <c r="E99" s="37">
        <v>1.56</v>
      </c>
      <c r="F99" s="13">
        <v>32.119999999999997</v>
      </c>
      <c r="G99" s="13">
        <f t="shared" si="11"/>
        <v>20.589743589743588</v>
      </c>
      <c r="H99" s="13">
        <f t="shared" si="9"/>
        <v>0.25653539490913024</v>
      </c>
    </row>
    <row r="100" spans="1:8" x14ac:dyDescent="0.25">
      <c r="A100" s="3" t="s">
        <v>86</v>
      </c>
      <c r="B100" s="10">
        <v>13705</v>
      </c>
      <c r="C100" s="23">
        <f t="shared" si="10"/>
        <v>8.2830838335115255E-3</v>
      </c>
      <c r="E100" s="37">
        <v>7.85</v>
      </c>
      <c r="F100" s="13">
        <v>30.68</v>
      </c>
      <c r="G100" s="13">
        <f t="shared" si="11"/>
        <v>3.9082802547770701</v>
      </c>
      <c r="H100" s="13">
        <f t="shared" si="9"/>
        <v>3.2372612995176256E-2</v>
      </c>
    </row>
    <row r="101" spans="1:8" x14ac:dyDescent="0.25">
      <c r="A101" s="3" t="s">
        <v>87</v>
      </c>
      <c r="B101" s="10">
        <v>12894</v>
      </c>
      <c r="C101" s="23">
        <f t="shared" si="10"/>
        <v>7.7929283436189434E-3</v>
      </c>
      <c r="E101" s="37">
        <v>8.32</v>
      </c>
      <c r="F101" s="13">
        <v>29.02</v>
      </c>
      <c r="G101" s="13">
        <f t="shared" si="11"/>
        <v>3.4879807692307692</v>
      </c>
      <c r="H101" s="13">
        <f t="shared" si="9"/>
        <v>2.7181584198536266E-2</v>
      </c>
    </row>
    <row r="102" spans="1:8" x14ac:dyDescent="0.25">
      <c r="A102" s="3" t="s">
        <v>88</v>
      </c>
      <c r="B102" s="10">
        <v>17182</v>
      </c>
      <c r="C102" s="23">
        <f t="shared" si="10"/>
        <v>1.0384527284012773E-2</v>
      </c>
      <c r="E102" s="37">
        <v>8.2799999999999994</v>
      </c>
      <c r="F102" s="13">
        <v>23</v>
      </c>
      <c r="G102" s="13">
        <f t="shared" si="11"/>
        <v>2.7777777777777781</v>
      </c>
      <c r="H102" s="13">
        <f t="shared" si="9"/>
        <v>2.8845909122257707E-2</v>
      </c>
    </row>
    <row r="103" spans="1:8" x14ac:dyDescent="0.25">
      <c r="A103" s="3" t="s">
        <v>89</v>
      </c>
      <c r="B103" s="10">
        <v>21701</v>
      </c>
      <c r="C103" s="23">
        <f t="shared" si="10"/>
        <v>1.3115738947175017E-2</v>
      </c>
      <c r="E103" s="37">
        <v>7.95</v>
      </c>
      <c r="F103" s="13">
        <v>18.91</v>
      </c>
      <c r="G103" s="13">
        <f t="shared" si="11"/>
        <v>2.378616352201258</v>
      </c>
      <c r="H103" s="13">
        <f t="shared" si="9"/>
        <v>3.1197311130953406E-2</v>
      </c>
    </row>
    <row r="104" spans="1:8" x14ac:dyDescent="0.25">
      <c r="A104" s="3" t="s">
        <v>90</v>
      </c>
      <c r="B104" s="10">
        <v>24371</v>
      </c>
      <c r="C104" s="23">
        <f t="shared" si="10"/>
        <v>1.4729444444108675E-2</v>
      </c>
      <c r="E104" s="37">
        <v>8.69</v>
      </c>
      <c r="F104" s="13">
        <v>25.7</v>
      </c>
      <c r="G104" s="13">
        <f t="shared" si="11"/>
        <v>2.9574223245109321</v>
      </c>
      <c r="H104" s="13">
        <f t="shared" si="9"/>
        <v>4.3561187826650513E-2</v>
      </c>
    </row>
    <row r="105" spans="1:8" x14ac:dyDescent="0.25">
      <c r="A105" s="3" t="s">
        <v>91</v>
      </c>
      <c r="B105" s="10">
        <v>49051</v>
      </c>
      <c r="C105" s="23">
        <f t="shared" si="10"/>
        <v>2.9645643569323157E-2</v>
      </c>
      <c r="E105" s="37">
        <v>2.97</v>
      </c>
      <c r="F105" s="13">
        <v>12.88</v>
      </c>
      <c r="G105" s="13">
        <f t="shared" si="11"/>
        <v>4.3367003367003365</v>
      </c>
      <c r="H105" s="13">
        <f t="shared" si="9"/>
        <v>0.12856427244878191</v>
      </c>
    </row>
    <row r="106" spans="1:8" x14ac:dyDescent="0.25">
      <c r="A106" s="3" t="s">
        <v>92</v>
      </c>
      <c r="B106" s="10">
        <v>101228</v>
      </c>
      <c r="C106" s="23">
        <f t="shared" si="10"/>
        <v>6.1180591776629316E-2</v>
      </c>
      <c r="E106" s="37">
        <v>5.4</v>
      </c>
      <c r="F106" s="13">
        <v>8.94</v>
      </c>
      <c r="G106" s="13">
        <f t="shared" si="11"/>
        <v>1.6555555555555554</v>
      </c>
      <c r="H106" s="13">
        <f t="shared" si="9"/>
        <v>0.10128786860797519</v>
      </c>
    </row>
    <row r="107" spans="1:8" x14ac:dyDescent="0.25">
      <c r="A107" s="3" t="s">
        <v>93</v>
      </c>
      <c r="B107" s="10">
        <v>47610</v>
      </c>
      <c r="C107" s="23">
        <f t="shared" si="10"/>
        <v>2.877472610824398E-2</v>
      </c>
      <c r="E107" s="37">
        <v>3.02</v>
      </c>
      <c r="F107" s="13">
        <v>9.25</v>
      </c>
      <c r="G107" s="13">
        <f t="shared" si="11"/>
        <v>3.0629139072847682</v>
      </c>
      <c r="H107" s="13">
        <f t="shared" ref="H107:H113" si="12">G107*C107</f>
        <v>8.81345087752506E-2</v>
      </c>
    </row>
    <row r="108" spans="1:8" x14ac:dyDescent="0.25">
      <c r="A108" s="3" t="s">
        <v>94</v>
      </c>
      <c r="B108" s="10">
        <v>174265</v>
      </c>
      <c r="C108" s="23">
        <f t="shared" si="10"/>
        <v>0.10532299191878045</v>
      </c>
      <c r="E108" s="37">
        <v>4.9400000000000004</v>
      </c>
      <c r="F108" s="13">
        <v>15.89</v>
      </c>
      <c r="G108" s="13">
        <f t="shared" si="11"/>
        <v>3.2165991902834006</v>
      </c>
      <c r="H108" s="13">
        <f t="shared" si="12"/>
        <v>0.33878185052417431</v>
      </c>
    </row>
    <row r="109" spans="1:8" x14ac:dyDescent="0.25">
      <c r="A109" s="3" t="s">
        <v>95</v>
      </c>
      <c r="B109" s="10">
        <v>53981</v>
      </c>
      <c r="C109" s="23">
        <f t="shared" ref="C109:C114" si="13">B109/B$114</f>
        <v>3.2625257089878561E-2</v>
      </c>
      <c r="E109" s="37">
        <v>3.77</v>
      </c>
      <c r="F109" s="13">
        <v>14.76</v>
      </c>
      <c r="G109" s="13">
        <f t="shared" si="11"/>
        <v>3.9151193633952253</v>
      </c>
      <c r="H109" s="13">
        <f t="shared" si="12"/>
        <v>0.12773177576833092</v>
      </c>
    </row>
    <row r="110" spans="1:8" x14ac:dyDescent="0.25">
      <c r="A110" s="3" t="s">
        <v>96</v>
      </c>
      <c r="B110" s="10">
        <v>40682</v>
      </c>
      <c r="C110" s="23">
        <f t="shared" si="13"/>
        <v>2.4587553193353952E-2</v>
      </c>
      <c r="E110" s="37">
        <v>3.1</v>
      </c>
      <c r="F110" s="13">
        <v>8.58</v>
      </c>
      <c r="G110" s="13">
        <f t="shared" si="11"/>
        <v>2.7677419354838708</v>
      </c>
      <c r="H110" s="13">
        <f t="shared" si="12"/>
        <v>6.8052002064186101E-2</v>
      </c>
    </row>
    <row r="111" spans="1:8" x14ac:dyDescent="0.25">
      <c r="A111" s="3" t="s">
        <v>97</v>
      </c>
      <c r="B111" s="10">
        <v>51368</v>
      </c>
      <c r="C111" s="23">
        <f t="shared" si="13"/>
        <v>3.1046001485576073E-2</v>
      </c>
      <c r="E111" s="37">
        <v>3.95</v>
      </c>
      <c r="F111" s="13">
        <v>13.48</v>
      </c>
      <c r="G111" s="13">
        <f t="shared" si="11"/>
        <v>3.4126582278481012</v>
      </c>
      <c r="H111" s="13">
        <f t="shared" si="12"/>
        <v>0.10594939241153556</v>
      </c>
    </row>
    <row r="112" spans="1:8" x14ac:dyDescent="0.25">
      <c r="A112" s="3" t="s">
        <v>98</v>
      </c>
      <c r="B112" s="10">
        <v>84646</v>
      </c>
      <c r="C112" s="23">
        <f t="shared" si="13"/>
        <v>5.1158694941365677E-2</v>
      </c>
      <c r="E112" s="37">
        <v>4.51</v>
      </c>
      <c r="F112" s="13">
        <v>13.49</v>
      </c>
      <c r="G112" s="13">
        <f t="shared" si="11"/>
        <v>2.9911308203991132</v>
      </c>
      <c r="H112" s="13">
        <f t="shared" si="12"/>
        <v>0.15302234917051508</v>
      </c>
    </row>
    <row r="113" spans="1:8" x14ac:dyDescent="0.25">
      <c r="A113" s="3" t="s">
        <v>99</v>
      </c>
      <c r="B113" s="10">
        <v>34534</v>
      </c>
      <c r="C113" s="23">
        <f t="shared" si="13"/>
        <v>2.0871799861837799E-2</v>
      </c>
      <c r="E113" s="37">
        <v>4</v>
      </c>
      <c r="F113" s="13">
        <v>10.59</v>
      </c>
      <c r="G113" s="13">
        <f t="shared" si="11"/>
        <v>2.6475</v>
      </c>
      <c r="H113" s="13">
        <f t="shared" si="12"/>
        <v>5.5258090134215572E-2</v>
      </c>
    </row>
    <row r="114" spans="1:8" x14ac:dyDescent="0.25">
      <c r="A114" s="20" t="s">
        <v>0</v>
      </c>
      <c r="B114" s="21">
        <f>SUM(B43:B113)</f>
        <v>1654577</v>
      </c>
      <c r="C114" s="22">
        <f t="shared" si="13"/>
        <v>1</v>
      </c>
      <c r="D114" s="18"/>
      <c r="E114" s="18"/>
      <c r="F114" s="18"/>
      <c r="G114" s="39"/>
      <c r="H114" s="19">
        <f>SUM(H43:H113)</f>
        <v>3.1224393040341103</v>
      </c>
    </row>
    <row r="115" spans="1:8" x14ac:dyDescent="0.25">
      <c r="B115" s="10"/>
      <c r="C115" s="23"/>
      <c r="E115" s="37"/>
      <c r="F115" s="13"/>
      <c r="G115" s="13"/>
      <c r="H115" s="13"/>
    </row>
    <row r="116" spans="1:8" x14ac:dyDescent="0.25">
      <c r="A116" s="3" t="s">
        <v>100</v>
      </c>
      <c r="B116" s="10">
        <v>2476</v>
      </c>
      <c r="C116" s="23">
        <f t="shared" ref="C116:C136" si="14">B116/B$138</f>
        <v>8.996929561599535E-3</v>
      </c>
      <c r="E116" s="37">
        <v>13.26</v>
      </c>
      <c r="F116" s="13">
        <v>33.06</v>
      </c>
      <c r="G116" s="13">
        <f t="shared" si="11"/>
        <v>2.4932126696832579</v>
      </c>
      <c r="H116" s="13">
        <f t="shared" ref="H116:H192" si="15">G116*C116</f>
        <v>2.2431258771227799E-2</v>
      </c>
    </row>
    <row r="117" spans="1:8" x14ac:dyDescent="0.25">
      <c r="A117" s="3" t="s">
        <v>101</v>
      </c>
      <c r="B117" s="10">
        <v>42089</v>
      </c>
      <c r="C117" s="23">
        <f t="shared" si="14"/>
        <v>0.15293690158245671</v>
      </c>
      <c r="E117" s="37">
        <v>2.4</v>
      </c>
      <c r="F117" s="13">
        <v>12.33</v>
      </c>
      <c r="G117" s="13">
        <f t="shared" si="11"/>
        <v>5.1375000000000002</v>
      </c>
      <c r="H117" s="13">
        <f t="shared" si="15"/>
        <v>0.78571333187987136</v>
      </c>
    </row>
    <row r="118" spans="1:8" x14ac:dyDescent="0.25">
      <c r="A118" s="3" t="s">
        <v>102</v>
      </c>
      <c r="B118" s="10">
        <v>9170</v>
      </c>
      <c r="C118" s="23">
        <f t="shared" si="14"/>
        <v>3.332061554114206E-2</v>
      </c>
      <c r="E118" s="37">
        <v>6.71</v>
      </c>
      <c r="F118" s="13">
        <v>22.43</v>
      </c>
      <c r="G118" s="13">
        <f t="shared" si="11"/>
        <v>3.3427719821162443</v>
      </c>
      <c r="H118" s="13">
        <f t="shared" si="15"/>
        <v>0.11138322005779677</v>
      </c>
    </row>
    <row r="119" spans="1:8" x14ac:dyDescent="0.25">
      <c r="A119" s="3" t="s">
        <v>103</v>
      </c>
      <c r="B119" s="10">
        <v>9926</v>
      </c>
      <c r="C119" s="23">
        <f t="shared" si="14"/>
        <v>3.6067658654457588E-2</v>
      </c>
      <c r="E119" s="37">
        <v>6.17</v>
      </c>
      <c r="F119" s="13">
        <v>23.17</v>
      </c>
      <c r="G119" s="13">
        <f t="shared" si="11"/>
        <v>3.7552674230145868</v>
      </c>
      <c r="H119" s="13">
        <f t="shared" si="15"/>
        <v>0.1354437035694947</v>
      </c>
    </row>
    <row r="120" spans="1:8" x14ac:dyDescent="0.25">
      <c r="A120" s="3" t="s">
        <v>104</v>
      </c>
      <c r="B120" s="10">
        <v>16734</v>
      </c>
      <c r="C120" s="23">
        <f t="shared" si="14"/>
        <v>6.0805581293944512E-2</v>
      </c>
      <c r="E120" s="37">
        <v>1.74</v>
      </c>
      <c r="F120" s="13">
        <v>6.4</v>
      </c>
      <c r="G120" s="13">
        <f t="shared" si="11"/>
        <v>3.6781609195402303</v>
      </c>
      <c r="H120" s="13">
        <f t="shared" si="15"/>
        <v>0.22365271280531318</v>
      </c>
    </row>
    <row r="121" spans="1:8" x14ac:dyDescent="0.25">
      <c r="A121" s="3" t="s">
        <v>105</v>
      </c>
      <c r="B121" s="10">
        <v>6596</v>
      </c>
      <c r="C121" s="23">
        <f t="shared" si="14"/>
        <v>2.3967587798186807E-2</v>
      </c>
      <c r="E121" s="37">
        <v>4.93</v>
      </c>
      <c r="F121" s="13">
        <v>16.420000000000002</v>
      </c>
      <c r="G121" s="13">
        <f t="shared" si="11"/>
        <v>3.3306288032454368</v>
      </c>
      <c r="H121" s="13">
        <f t="shared" si="15"/>
        <v>7.9827138264954856E-2</v>
      </c>
    </row>
    <row r="122" spans="1:8" x14ac:dyDescent="0.25">
      <c r="A122" s="3" t="s">
        <v>106</v>
      </c>
      <c r="B122" s="10">
        <v>10751</v>
      </c>
      <c r="C122" s="23">
        <f t="shared" si="14"/>
        <v>3.9065423956686836E-2</v>
      </c>
      <c r="E122" s="37">
        <v>13.05</v>
      </c>
      <c r="F122" s="13">
        <v>29.33</v>
      </c>
      <c r="G122" s="13">
        <f t="shared" si="11"/>
        <v>2.2475095785440611</v>
      </c>
      <c r="H122" s="13">
        <f t="shared" si="15"/>
        <v>8.7799914532538298E-2</v>
      </c>
    </row>
    <row r="123" spans="1:8" x14ac:dyDescent="0.25">
      <c r="A123" s="3" t="s">
        <v>107</v>
      </c>
      <c r="B123" s="10">
        <v>4156</v>
      </c>
      <c r="C123" s="23">
        <f t="shared" si="14"/>
        <v>1.510146981341182E-2</v>
      </c>
      <c r="E123" s="37">
        <v>7.81</v>
      </c>
      <c r="F123" s="13">
        <v>19.75</v>
      </c>
      <c r="G123" s="13">
        <f t="shared" si="11"/>
        <v>2.5288092189500642</v>
      </c>
      <c r="H123" s="13">
        <f t="shared" si="15"/>
        <v>3.8188736083851912E-2</v>
      </c>
    </row>
    <row r="124" spans="1:8" x14ac:dyDescent="0.25">
      <c r="A124" s="3" t="s">
        <v>108</v>
      </c>
      <c r="B124" s="10">
        <v>4137</v>
      </c>
      <c r="C124" s="23">
        <f t="shared" si="14"/>
        <v>1.5032430370087753E-2</v>
      </c>
      <c r="E124" s="37">
        <v>20.239999999999998</v>
      </c>
      <c r="F124" s="13">
        <v>52.05</v>
      </c>
      <c r="G124" s="13">
        <f t="shared" si="11"/>
        <v>2.5716403162055337</v>
      </c>
      <c r="H124" s="13">
        <f t="shared" si="15"/>
        <v>3.865800399027014E-2</v>
      </c>
    </row>
    <row r="125" spans="1:8" x14ac:dyDescent="0.25">
      <c r="A125" s="3" t="s">
        <v>109</v>
      </c>
      <c r="B125" s="10">
        <v>3698</v>
      </c>
      <c r="C125" s="23">
        <f t="shared" si="14"/>
        <v>1.3437255863810614E-2</v>
      </c>
      <c r="E125" s="37">
        <v>9.33</v>
      </c>
      <c r="F125" s="13">
        <v>26.61</v>
      </c>
      <c r="G125" s="13">
        <f t="shared" si="11"/>
        <v>2.8520900321543405</v>
      </c>
      <c r="H125" s="13">
        <f t="shared" si="15"/>
        <v>3.8324263508681712E-2</v>
      </c>
    </row>
    <row r="126" spans="1:8" x14ac:dyDescent="0.25">
      <c r="A126" s="3" t="s">
        <v>110</v>
      </c>
      <c r="B126" s="10">
        <v>26946</v>
      </c>
      <c r="C126" s="23">
        <f t="shared" si="14"/>
        <v>9.7912465253174902E-2</v>
      </c>
      <c r="E126" s="37">
        <v>2.0699999999999998</v>
      </c>
      <c r="F126" s="13">
        <v>8.75</v>
      </c>
      <c r="G126" s="13">
        <f t="shared" si="11"/>
        <v>4.2270531400966185</v>
      </c>
      <c r="H126" s="13">
        <f t="shared" si="15"/>
        <v>0.413881193703034</v>
      </c>
    </row>
    <row r="127" spans="1:8" x14ac:dyDescent="0.25">
      <c r="A127" s="3" t="s">
        <v>111</v>
      </c>
      <c r="B127" s="10">
        <v>3449</v>
      </c>
      <c r="C127" s="23">
        <f t="shared" si="14"/>
        <v>1.2532475790774151E-2</v>
      </c>
      <c r="E127" s="37">
        <v>9.42</v>
      </c>
      <c r="F127" s="13">
        <v>23.56</v>
      </c>
      <c r="G127" s="13">
        <f t="shared" si="11"/>
        <v>2.5010615711252653</v>
      </c>
      <c r="H127" s="13">
        <f t="shared" si="15"/>
        <v>3.1344493591362946E-2</v>
      </c>
    </row>
    <row r="128" spans="1:8" x14ac:dyDescent="0.25">
      <c r="A128" s="3" t="s">
        <v>112</v>
      </c>
      <c r="B128" s="10">
        <v>32870</v>
      </c>
      <c r="C128" s="23">
        <f t="shared" si="14"/>
        <v>0.11943823695063679</v>
      </c>
      <c r="E128" s="37">
        <v>2.56</v>
      </c>
      <c r="F128" s="13">
        <v>11.17</v>
      </c>
      <c r="G128" s="13">
        <f t="shared" si="11"/>
        <v>4.36328125</v>
      </c>
      <c r="H128" s="13">
        <f t="shared" si="15"/>
        <v>0.52114261981977072</v>
      </c>
    </row>
    <row r="129" spans="1:8" x14ac:dyDescent="0.25">
      <c r="A129" s="3" t="s">
        <v>113</v>
      </c>
      <c r="B129" s="10">
        <v>7214</v>
      </c>
      <c r="C129" s="23">
        <f t="shared" si="14"/>
        <v>2.6213186533674895E-2</v>
      </c>
      <c r="E129" s="37">
        <v>9.77</v>
      </c>
      <c r="F129" s="13">
        <v>30.03</v>
      </c>
      <c r="G129" s="13">
        <f t="shared" si="11"/>
        <v>3.0736949846468784</v>
      </c>
      <c r="H129" s="13">
        <f t="shared" si="15"/>
        <v>8.0571339980169618E-2</v>
      </c>
    </row>
    <row r="130" spans="1:8" x14ac:dyDescent="0.25">
      <c r="A130" s="3" t="s">
        <v>114</v>
      </c>
      <c r="B130" s="10">
        <v>5411</v>
      </c>
      <c r="C130" s="23">
        <f t="shared" si="14"/>
        <v>1.9661706727712069E-2</v>
      </c>
      <c r="E130" s="37">
        <v>15.97</v>
      </c>
      <c r="F130" s="13">
        <v>44.25</v>
      </c>
      <c r="G130" s="13">
        <f t="shared" si="11"/>
        <v>2.770820288040075</v>
      </c>
      <c r="H130" s="13">
        <f t="shared" si="15"/>
        <v>5.4479055898638634E-2</v>
      </c>
    </row>
    <row r="131" spans="1:8" x14ac:dyDescent="0.25">
      <c r="A131" s="3" t="s">
        <v>115</v>
      </c>
      <c r="B131" s="10">
        <v>13989</v>
      </c>
      <c r="C131" s="23">
        <f t="shared" si="14"/>
        <v>5.0831198561072655E-2</v>
      </c>
      <c r="E131" s="37">
        <v>2.61</v>
      </c>
      <c r="F131" s="13">
        <v>6.23</v>
      </c>
      <c r="G131" s="13">
        <f t="shared" si="11"/>
        <v>2.3869731800766285</v>
      </c>
      <c r="H131" s="13">
        <f t="shared" si="15"/>
        <v>0.12133270767643013</v>
      </c>
    </row>
    <row r="132" spans="1:8" x14ac:dyDescent="0.25">
      <c r="A132" s="3" t="s">
        <v>116</v>
      </c>
      <c r="B132" s="10">
        <v>10166</v>
      </c>
      <c r="C132" s="23">
        <f t="shared" si="14"/>
        <v>3.6939735833287912E-2</v>
      </c>
      <c r="E132" s="37">
        <v>10.07</v>
      </c>
      <c r="F132" s="13">
        <v>33.21</v>
      </c>
      <c r="G132" s="13">
        <f t="shared" si="11"/>
        <v>3.2979145978152928</v>
      </c>
      <c r="H132" s="13">
        <f t="shared" si="15"/>
        <v>0.12182409404404086</v>
      </c>
    </row>
    <row r="133" spans="1:8" x14ac:dyDescent="0.25">
      <c r="A133" s="3" t="s">
        <v>117</v>
      </c>
      <c r="B133" s="10">
        <v>4016</v>
      </c>
      <c r="C133" s="23">
        <f t="shared" si="14"/>
        <v>1.4592758125760797E-2</v>
      </c>
      <c r="E133" s="37">
        <v>14.8</v>
      </c>
      <c r="F133" s="13">
        <v>31.87</v>
      </c>
      <c r="G133" s="13">
        <f t="shared" si="11"/>
        <v>2.1533783783783784</v>
      </c>
      <c r="H133" s="13">
        <f t="shared" si="15"/>
        <v>3.1423729828918688E-2</v>
      </c>
    </row>
    <row r="134" spans="1:8" x14ac:dyDescent="0.25">
      <c r="A134" s="3" t="s">
        <v>118</v>
      </c>
      <c r="B134" s="10">
        <v>8883</v>
      </c>
      <c r="C134" s="23">
        <f t="shared" si="14"/>
        <v>3.2277756581457456E-2</v>
      </c>
      <c r="E134" s="37">
        <v>11.57</v>
      </c>
      <c r="F134" s="13">
        <v>31.23</v>
      </c>
      <c r="G134" s="13">
        <f t="shared" si="11"/>
        <v>2.6992221261884182</v>
      </c>
      <c r="H134" s="13">
        <f t="shared" si="15"/>
        <v>8.7124834748393803E-2</v>
      </c>
    </row>
    <row r="135" spans="1:8" x14ac:dyDescent="0.25">
      <c r="A135" s="3" t="s">
        <v>119</v>
      </c>
      <c r="B135" s="10">
        <v>34534</v>
      </c>
      <c r="C135" s="23">
        <f t="shared" si="14"/>
        <v>0.1254846387238604</v>
      </c>
      <c r="E135" s="37">
        <v>2.11</v>
      </c>
      <c r="F135" s="13">
        <v>7.89</v>
      </c>
      <c r="G135" s="13">
        <f t="shared" si="11"/>
        <v>3.7393364928909953</v>
      </c>
      <c r="H135" s="13">
        <f t="shared" si="15"/>
        <v>0.46922928887737375</v>
      </c>
    </row>
    <row r="136" spans="1:8" x14ac:dyDescent="0.25">
      <c r="A136" s="3" t="s">
        <v>120</v>
      </c>
      <c r="B136" s="10">
        <v>10791</v>
      </c>
      <c r="C136" s="23">
        <f t="shared" si="14"/>
        <v>3.9210770153158554E-2</v>
      </c>
      <c r="E136" s="37">
        <v>20.2</v>
      </c>
      <c r="F136" s="13">
        <v>47.67</v>
      </c>
      <c r="G136" s="13">
        <f t="shared" si="11"/>
        <v>2.35990099009901</v>
      </c>
      <c r="H136" s="13">
        <f t="shared" si="15"/>
        <v>9.2533535306983578E-2</v>
      </c>
    </row>
    <row r="137" spans="1:8" x14ac:dyDescent="0.25">
      <c r="A137" s="3" t="s">
        <v>121</v>
      </c>
      <c r="B137" s="10">
        <v>7203</v>
      </c>
      <c r="C137" s="23">
        <f>B137/B$138</f>
        <v>2.6173216329645175E-2</v>
      </c>
      <c r="E137" s="37">
        <v>5.8</v>
      </c>
      <c r="F137" s="13">
        <v>26.67</v>
      </c>
      <c r="G137" s="13">
        <f t="shared" si="11"/>
        <v>4.5982758620689657</v>
      </c>
      <c r="H137" s="13">
        <f t="shared" si="15"/>
        <v>0.1203516688813167</v>
      </c>
    </row>
    <row r="138" spans="1:8" x14ac:dyDescent="0.25">
      <c r="A138" s="20" t="s">
        <v>0</v>
      </c>
      <c r="B138" s="21">
        <f>SUM(B116:B137)</f>
        <v>275205</v>
      </c>
      <c r="C138" s="22">
        <f>B138/B$138</f>
        <v>1</v>
      </c>
      <c r="D138" s="18"/>
      <c r="E138" s="18"/>
      <c r="F138" s="18"/>
      <c r="G138" s="39"/>
      <c r="H138" s="19">
        <f>SUM(H116:H137)</f>
        <v>3.7066608458204353</v>
      </c>
    </row>
    <row r="139" spans="1:8" x14ac:dyDescent="0.25">
      <c r="B139" s="10"/>
      <c r="C139" s="23"/>
      <c r="E139" s="37"/>
      <c r="F139" s="13"/>
      <c r="G139" s="13"/>
      <c r="H139" s="13"/>
    </row>
    <row r="140" spans="1:8" x14ac:dyDescent="0.25">
      <c r="A140" s="3" t="s">
        <v>122</v>
      </c>
      <c r="B140" s="10">
        <v>4595</v>
      </c>
      <c r="C140" s="23">
        <f>B140/B$193</f>
        <v>3.4985080899668573E-3</v>
      </c>
      <c r="E140" s="37">
        <v>17.670000000000002</v>
      </c>
      <c r="F140" s="13">
        <v>47.44</v>
      </c>
      <c r="G140" s="13">
        <f t="shared" si="11"/>
        <v>2.6847764572722124</v>
      </c>
      <c r="H140" s="13">
        <f t="shared" si="15"/>
        <v>9.3927121555193935E-3</v>
      </c>
    </row>
    <row r="141" spans="1:8" x14ac:dyDescent="0.25">
      <c r="A141" s="3" t="s">
        <v>123</v>
      </c>
      <c r="B141" s="10">
        <v>3720</v>
      </c>
      <c r="C141" s="23">
        <f t="shared" ref="C141:C192" si="16">B141/B$193</f>
        <v>2.8323068758817648E-3</v>
      </c>
      <c r="E141" s="37">
        <v>11.67</v>
      </c>
      <c r="F141" s="13">
        <v>23.63</v>
      </c>
      <c r="G141" s="13">
        <f t="shared" si="11"/>
        <v>2.0248500428449012</v>
      </c>
      <c r="H141" s="13">
        <f t="shared" si="15"/>
        <v>5.7349966989790994E-3</v>
      </c>
    </row>
    <row r="142" spans="1:8" x14ac:dyDescent="0.25">
      <c r="A142" s="3" t="s">
        <v>124</v>
      </c>
      <c r="B142" s="10">
        <v>5321</v>
      </c>
      <c r="C142" s="23">
        <f t="shared" si="16"/>
        <v>4.0512647544534604E-3</v>
      </c>
      <c r="E142" s="37">
        <v>14.11</v>
      </c>
      <c r="F142" s="13">
        <v>21.02</v>
      </c>
      <c r="G142" s="13">
        <f t="shared" si="11"/>
        <v>1.4897236002834868</v>
      </c>
      <c r="H142" s="13">
        <f t="shared" si="15"/>
        <v>6.0352647157060051E-3</v>
      </c>
    </row>
    <row r="143" spans="1:8" x14ac:dyDescent="0.25">
      <c r="A143" s="3" t="s">
        <v>125</v>
      </c>
      <c r="B143" s="10">
        <v>4941</v>
      </c>
      <c r="C143" s="23">
        <f t="shared" si="16"/>
        <v>3.7619430843365055E-3</v>
      </c>
      <c r="E143" s="37">
        <v>18.260000000000002</v>
      </c>
      <c r="F143" s="13">
        <v>52.5</v>
      </c>
      <c r="G143" s="13">
        <f t="shared" si="11"/>
        <v>2.8751369112814893</v>
      </c>
      <c r="H143" s="13">
        <f t="shared" si="15"/>
        <v>1.081610141991602E-2</v>
      </c>
    </row>
    <row r="144" spans="1:8" x14ac:dyDescent="0.25">
      <c r="A144" s="3" t="s">
        <v>126</v>
      </c>
      <c r="B144" s="10">
        <v>7732</v>
      </c>
      <c r="C144" s="23">
        <f t="shared" si="16"/>
        <v>5.8869346140639264E-3</v>
      </c>
      <c r="E144" s="37">
        <v>13.3</v>
      </c>
      <c r="F144" s="13">
        <v>33.85</v>
      </c>
      <c r="G144" s="13">
        <f t="shared" si="11"/>
        <v>2.5451127819548871</v>
      </c>
      <c r="H144" s="13">
        <f t="shared" si="15"/>
        <v>1.4982912532786758E-2</v>
      </c>
    </row>
    <row r="145" spans="1:8" x14ac:dyDescent="0.25">
      <c r="A145" s="3" t="s">
        <v>127</v>
      </c>
      <c r="B145" s="10">
        <v>23196</v>
      </c>
      <c r="C145" s="23">
        <f t="shared" si="16"/>
        <v>1.7660803842191781E-2</v>
      </c>
      <c r="E145" s="37">
        <v>6.37</v>
      </c>
      <c r="F145" s="13">
        <v>11.44</v>
      </c>
      <c r="G145" s="13">
        <f t="shared" si="11"/>
        <v>1.7959183673469388</v>
      </c>
      <c r="H145" s="13">
        <f t="shared" si="15"/>
        <v>3.1717362002303608E-2</v>
      </c>
    </row>
    <row r="146" spans="1:8" x14ac:dyDescent="0.25">
      <c r="A146" s="3" t="s">
        <v>128</v>
      </c>
      <c r="B146" s="10">
        <v>14578</v>
      </c>
      <c r="C146" s="23">
        <f t="shared" si="16"/>
        <v>1.1099292913065691E-2</v>
      </c>
      <c r="E146" s="37">
        <v>8.3000000000000007</v>
      </c>
      <c r="F146" s="13">
        <v>24.43</v>
      </c>
      <c r="G146" s="13">
        <f t="shared" si="11"/>
        <v>2.9433734939759035</v>
      </c>
      <c r="H146" s="13">
        <f t="shared" si="15"/>
        <v>3.2669364562192146E-2</v>
      </c>
    </row>
    <row r="147" spans="1:8" x14ac:dyDescent="0.25">
      <c r="A147" s="3" t="s">
        <v>129</v>
      </c>
      <c r="B147" s="10">
        <v>32377</v>
      </c>
      <c r="C147" s="23">
        <f t="shared" si="16"/>
        <v>2.465096766678062E-2</v>
      </c>
      <c r="E147" s="37">
        <v>4.46</v>
      </c>
      <c r="F147" s="13">
        <v>13.03</v>
      </c>
      <c r="G147" s="13">
        <f t="shared" si="11"/>
        <v>2.9215246636771299</v>
      </c>
      <c r="H147" s="13">
        <f t="shared" si="15"/>
        <v>7.2018410022007054E-2</v>
      </c>
    </row>
    <row r="148" spans="1:8" x14ac:dyDescent="0.25">
      <c r="A148" s="3" t="s">
        <v>130</v>
      </c>
      <c r="B148" s="10">
        <v>8936</v>
      </c>
      <c r="C148" s="23">
        <f t="shared" si="16"/>
        <v>6.8036274846450138E-3</v>
      </c>
      <c r="E148" s="37">
        <v>14.01</v>
      </c>
      <c r="F148" s="13">
        <v>36.200000000000003</v>
      </c>
      <c r="G148" s="13">
        <f t="shared" si="11"/>
        <v>2.5838686652391152</v>
      </c>
      <c r="H148" s="13">
        <f t="shared" si="15"/>
        <v>1.7579679867533872E-2</v>
      </c>
    </row>
    <row r="149" spans="1:8" x14ac:dyDescent="0.25">
      <c r="A149" s="3" t="s">
        <v>131</v>
      </c>
      <c r="B149" s="10">
        <v>5457</v>
      </c>
      <c r="C149" s="23">
        <f t="shared" si="16"/>
        <v>4.1548114574426857E-3</v>
      </c>
      <c r="E149" s="37">
        <v>11.07</v>
      </c>
      <c r="F149" s="13">
        <v>38.58</v>
      </c>
      <c r="G149" s="13">
        <f t="shared" si="11"/>
        <v>3.4850948509485091</v>
      </c>
      <c r="H149" s="13">
        <f t="shared" si="15"/>
        <v>1.4479912016995375E-2</v>
      </c>
    </row>
    <row r="150" spans="1:8" x14ac:dyDescent="0.25">
      <c r="A150" s="3" t="s">
        <v>132</v>
      </c>
      <c r="B150" s="10">
        <v>23892</v>
      </c>
      <c r="C150" s="23">
        <f t="shared" si="16"/>
        <v>1.8190719322195466E-2</v>
      </c>
      <c r="E150" s="37">
        <v>6.07</v>
      </c>
      <c r="F150" s="13">
        <v>22.71</v>
      </c>
      <c r="G150" s="13">
        <f t="shared" si="11"/>
        <v>3.7413509060955517</v>
      </c>
      <c r="H150" s="13">
        <f t="shared" si="15"/>
        <v>6.8057864218625863E-2</v>
      </c>
    </row>
    <row r="151" spans="1:8" x14ac:dyDescent="0.25">
      <c r="A151" s="3" t="s">
        <v>133</v>
      </c>
      <c r="B151" s="10">
        <v>18018</v>
      </c>
      <c r="C151" s="23">
        <f t="shared" si="16"/>
        <v>1.3718415400440226E-2</v>
      </c>
      <c r="E151" s="37">
        <v>3.63</v>
      </c>
      <c r="F151" s="13">
        <v>9.11</v>
      </c>
      <c r="G151" s="13">
        <f t="shared" si="11"/>
        <v>2.5096418732782366</v>
      </c>
      <c r="H151" s="13">
        <f t="shared" si="15"/>
        <v>3.4428309723969819E-2</v>
      </c>
    </row>
    <row r="152" spans="1:8" x14ac:dyDescent="0.25">
      <c r="A152" s="3" t="s">
        <v>134</v>
      </c>
      <c r="B152" s="10">
        <v>4982</v>
      </c>
      <c r="C152" s="23">
        <f t="shared" si="16"/>
        <v>3.7931593697964928E-3</v>
      </c>
      <c r="E152" s="37">
        <v>14.22</v>
      </c>
      <c r="F152" s="13">
        <v>25.62</v>
      </c>
      <c r="G152" s="13">
        <f t="shared" si="11"/>
        <v>1.8016877637130801</v>
      </c>
      <c r="H152" s="13">
        <f t="shared" si="15"/>
        <v>6.8340888223759593E-3</v>
      </c>
    </row>
    <row r="153" spans="1:8" x14ac:dyDescent="0.25">
      <c r="A153" s="3" t="s">
        <v>135</v>
      </c>
      <c r="B153" s="10">
        <v>21850</v>
      </c>
      <c r="C153" s="23">
        <f t="shared" si="16"/>
        <v>1.6635996031724883E-2</v>
      </c>
      <c r="E153" s="37">
        <v>13.11</v>
      </c>
      <c r="F153" s="13">
        <v>30.12</v>
      </c>
      <c r="G153" s="13">
        <f t="shared" si="11"/>
        <v>2.2974828375286043</v>
      </c>
      <c r="H153" s="13">
        <f t="shared" si="15"/>
        <v>3.8220915368081886E-2</v>
      </c>
    </row>
    <row r="154" spans="1:8" x14ac:dyDescent="0.25">
      <c r="A154" s="3" t="s">
        <v>136</v>
      </c>
      <c r="B154" s="10">
        <v>7111</v>
      </c>
      <c r="C154" s="23">
        <f t="shared" si="16"/>
        <v>5.4141220952675347E-3</v>
      </c>
      <c r="E154" s="37">
        <v>12.14</v>
      </c>
      <c r="F154" s="13">
        <v>35.85</v>
      </c>
      <c r="G154" s="13">
        <f t="shared" si="11"/>
        <v>2.9530477759472817</v>
      </c>
      <c r="H154" s="13">
        <f t="shared" si="15"/>
        <v>1.598816121213683E-2</v>
      </c>
    </row>
    <row r="155" spans="1:8" x14ac:dyDescent="0.25">
      <c r="A155" s="3" t="s">
        <v>137</v>
      </c>
      <c r="B155" s="10">
        <v>9769</v>
      </c>
      <c r="C155" s="23">
        <f t="shared" si="16"/>
        <v>7.4378510404540217E-3</v>
      </c>
      <c r="E155" s="37">
        <v>14.34</v>
      </c>
      <c r="F155" s="13">
        <v>35.75</v>
      </c>
      <c r="G155" s="13">
        <f t="shared" si="11"/>
        <v>2.4930264993026499</v>
      </c>
      <c r="H155" s="13">
        <f t="shared" si="15"/>
        <v>1.8542759741717662E-2</v>
      </c>
    </row>
    <row r="156" spans="1:8" x14ac:dyDescent="0.25">
      <c r="A156" s="3" t="s">
        <v>138</v>
      </c>
      <c r="B156" s="10">
        <v>7351</v>
      </c>
      <c r="C156" s="23">
        <f t="shared" si="16"/>
        <v>5.5968515711308743E-3</v>
      </c>
      <c r="E156" s="37">
        <v>13.06</v>
      </c>
      <c r="F156" s="13">
        <v>22.84</v>
      </c>
      <c r="G156" s="13">
        <f t="shared" si="11"/>
        <v>1.7488514548238896</v>
      </c>
      <c r="H156" s="13">
        <f t="shared" si="15"/>
        <v>9.7880620126056025E-3</v>
      </c>
    </row>
    <row r="157" spans="1:8" x14ac:dyDescent="0.25">
      <c r="A157" s="3" t="s">
        <v>139</v>
      </c>
      <c r="B157" s="10">
        <v>36163</v>
      </c>
      <c r="C157" s="23">
        <f t="shared" si="16"/>
        <v>2.7533525148524803E-2</v>
      </c>
      <c r="E157" s="37">
        <v>5.54</v>
      </c>
      <c r="F157" s="13">
        <v>15.38</v>
      </c>
      <c r="G157" s="13">
        <f t="shared" si="11"/>
        <v>2.7761732851985559</v>
      </c>
      <c r="H157" s="13">
        <f t="shared" si="15"/>
        <v>7.6437836964677153E-2</v>
      </c>
    </row>
    <row r="158" spans="1:8" x14ac:dyDescent="0.25">
      <c r="A158" s="3" t="s">
        <v>140</v>
      </c>
      <c r="B158" s="10">
        <v>9171</v>
      </c>
      <c r="C158" s="23">
        <f t="shared" si="16"/>
        <v>6.9825500964278671E-3</v>
      </c>
      <c r="E158" s="37">
        <v>11.52</v>
      </c>
      <c r="F158" s="13">
        <v>23.19</v>
      </c>
      <c r="G158" s="13">
        <f t="shared" si="11"/>
        <v>2.0130208333333335</v>
      </c>
      <c r="H158" s="13">
        <f t="shared" si="15"/>
        <v>1.4056018813902973E-2</v>
      </c>
    </row>
    <row r="159" spans="1:8" x14ac:dyDescent="0.25">
      <c r="A159" s="3" t="s">
        <v>141</v>
      </c>
      <c r="B159" s="10">
        <v>11750</v>
      </c>
      <c r="C159" s="23">
        <f t="shared" si="16"/>
        <v>8.9461305891426722E-3</v>
      </c>
      <c r="E159" s="37">
        <v>18.54</v>
      </c>
      <c r="F159" s="13">
        <v>37.4</v>
      </c>
      <c r="G159" s="13">
        <f t="shared" si="11"/>
        <v>2.0172599784250269</v>
      </c>
      <c r="H159" s="13">
        <f t="shared" si="15"/>
        <v>1.8046671199241419E-2</v>
      </c>
    </row>
    <row r="160" spans="1:8" x14ac:dyDescent="0.25">
      <c r="A160" s="3" t="s">
        <v>142</v>
      </c>
      <c r="B160" s="10">
        <v>9993</v>
      </c>
      <c r="C160" s="23">
        <f t="shared" si="16"/>
        <v>7.6083985512598058E-3</v>
      </c>
      <c r="E160" s="37">
        <v>12.07</v>
      </c>
      <c r="F160" s="13">
        <v>26.14</v>
      </c>
      <c r="G160" s="13">
        <f t="shared" si="11"/>
        <v>2.1657000828500412</v>
      </c>
      <c r="H160" s="13">
        <f t="shared" si="15"/>
        <v>1.6477509372819495E-2</v>
      </c>
    </row>
    <row r="161" spans="1:8" x14ac:dyDescent="0.25">
      <c r="A161" s="3" t="s">
        <v>143</v>
      </c>
      <c r="B161" s="10">
        <v>9335</v>
      </c>
      <c r="C161" s="23">
        <f t="shared" si="16"/>
        <v>7.1074152382678158E-3</v>
      </c>
      <c r="E161" s="37">
        <v>16.579999999999998</v>
      </c>
      <c r="F161" s="13">
        <v>32.69</v>
      </c>
      <c r="G161" s="13">
        <f t="shared" ref="G161:G192" si="17">F161/E161</f>
        <v>1.971652593486128</v>
      </c>
      <c r="H161" s="13">
        <f t="shared" si="15"/>
        <v>1.4013353687513566E-2</v>
      </c>
    </row>
    <row r="162" spans="1:8" x14ac:dyDescent="0.25">
      <c r="A162" s="3" t="s">
        <v>144</v>
      </c>
      <c r="B162" s="10">
        <v>14242</v>
      </c>
      <c r="C162" s="23">
        <f t="shared" si="16"/>
        <v>1.0843471646857014E-2</v>
      </c>
      <c r="E162" s="37">
        <v>6.25</v>
      </c>
      <c r="F162" s="13">
        <v>17.850000000000001</v>
      </c>
      <c r="G162" s="13">
        <f t="shared" si="17"/>
        <v>2.8560000000000003</v>
      </c>
      <c r="H162" s="13">
        <f t="shared" si="15"/>
        <v>3.0968955023423637E-2</v>
      </c>
    </row>
    <row r="163" spans="1:8" x14ac:dyDescent="0.25">
      <c r="A163" s="3" t="s">
        <v>145</v>
      </c>
      <c r="B163" s="10">
        <v>12592</v>
      </c>
      <c r="C163" s="23">
        <f t="shared" si="16"/>
        <v>9.5872065002965551E-3</v>
      </c>
      <c r="E163" s="37">
        <v>9.8800000000000008</v>
      </c>
      <c r="F163" s="13">
        <v>27.51</v>
      </c>
      <c r="G163" s="13">
        <f t="shared" si="17"/>
        <v>2.7844129554655872</v>
      </c>
      <c r="H163" s="13">
        <f t="shared" si="15"/>
        <v>2.6694741986149621E-2</v>
      </c>
    </row>
    <row r="164" spans="1:8" x14ac:dyDescent="0.25">
      <c r="A164" s="3" t="s">
        <v>146</v>
      </c>
      <c r="B164" s="10">
        <v>15555</v>
      </c>
      <c r="C164" s="23">
        <f t="shared" si="16"/>
        <v>1.1843154154392702E-2</v>
      </c>
      <c r="E164" s="37">
        <v>5.76</v>
      </c>
      <c r="F164" s="13">
        <v>23.45</v>
      </c>
      <c r="G164" s="13">
        <f t="shared" si="17"/>
        <v>4.0711805555555554</v>
      </c>
      <c r="H164" s="13">
        <f t="shared" si="15"/>
        <v>4.8215618909810562E-2</v>
      </c>
    </row>
    <row r="165" spans="1:8" x14ac:dyDescent="0.25">
      <c r="A165" s="3" t="s">
        <v>147</v>
      </c>
      <c r="B165" s="10">
        <v>11927</v>
      </c>
      <c r="C165" s="23">
        <f t="shared" si="16"/>
        <v>9.0808935775918836E-3</v>
      </c>
      <c r="E165" s="37">
        <v>5.0599999999999996</v>
      </c>
      <c r="F165" s="13">
        <v>22.4</v>
      </c>
      <c r="G165" s="13">
        <f t="shared" si="17"/>
        <v>4.4268774703557314</v>
      </c>
      <c r="H165" s="13">
        <f t="shared" si="15"/>
        <v>4.0200003189339563E-2</v>
      </c>
    </row>
    <row r="166" spans="1:8" x14ac:dyDescent="0.25">
      <c r="A166" s="3" t="s">
        <v>148</v>
      </c>
      <c r="B166" s="10">
        <v>9299</v>
      </c>
      <c r="C166" s="23">
        <f t="shared" si="16"/>
        <v>7.0800058168883151E-3</v>
      </c>
      <c r="E166" s="37">
        <v>10.25</v>
      </c>
      <c r="F166" s="13">
        <v>28.53</v>
      </c>
      <c r="G166" s="13">
        <f t="shared" si="17"/>
        <v>2.7834146341463417</v>
      </c>
      <c r="H166" s="13">
        <f t="shared" si="15"/>
        <v>1.9706591800568159E-2</v>
      </c>
    </row>
    <row r="167" spans="1:8" x14ac:dyDescent="0.25">
      <c r="A167" s="3" t="s">
        <v>149</v>
      </c>
      <c r="B167" s="10">
        <v>13128</v>
      </c>
      <c r="C167" s="23">
        <f t="shared" si="16"/>
        <v>9.9953023297246792E-3</v>
      </c>
      <c r="E167" s="37">
        <v>5.05</v>
      </c>
      <c r="F167" s="13">
        <v>14.22</v>
      </c>
      <c r="G167" s="13">
        <f t="shared" si="17"/>
        <v>2.8158415841584161</v>
      </c>
      <c r="H167" s="13">
        <f t="shared" si="15"/>
        <v>2.8145187946274249E-2</v>
      </c>
    </row>
    <row r="168" spans="1:8" x14ac:dyDescent="0.25">
      <c r="A168" s="3" t="s">
        <v>150</v>
      </c>
      <c r="B168" s="10">
        <v>12517</v>
      </c>
      <c r="C168" s="23">
        <f t="shared" si="16"/>
        <v>9.5301035390892609E-3</v>
      </c>
      <c r="E168" s="37">
        <v>9.58</v>
      </c>
      <c r="F168" s="13">
        <v>27.87</v>
      </c>
      <c r="G168" s="13">
        <f t="shared" si="17"/>
        <v>2.9091858037578291</v>
      </c>
      <c r="H168" s="13">
        <f t="shared" si="15"/>
        <v>2.7724841924260724E-2</v>
      </c>
    </row>
    <row r="169" spans="1:8" x14ac:dyDescent="0.25">
      <c r="A169" s="3" t="s">
        <v>151</v>
      </c>
      <c r="B169" s="10">
        <v>27142</v>
      </c>
      <c r="C169" s="23">
        <f t="shared" si="16"/>
        <v>2.0665180974511522E-2</v>
      </c>
      <c r="E169" s="37">
        <v>6.9</v>
      </c>
      <c r="F169" s="13">
        <v>20.260000000000002</v>
      </c>
      <c r="G169" s="13">
        <f t="shared" si="17"/>
        <v>2.9362318840579711</v>
      </c>
      <c r="H169" s="13">
        <f t="shared" si="15"/>
        <v>6.0677763267188906E-2</v>
      </c>
    </row>
    <row r="170" spans="1:8" x14ac:dyDescent="0.25">
      <c r="A170" s="3" t="s">
        <v>152</v>
      </c>
      <c r="B170" s="10">
        <v>11331</v>
      </c>
      <c r="C170" s="23">
        <f t="shared" si="16"/>
        <v>8.6271153791979242E-3</v>
      </c>
      <c r="E170" s="37">
        <v>4.4400000000000004</v>
      </c>
      <c r="F170" s="13">
        <v>16.690000000000001</v>
      </c>
      <c r="G170" s="13">
        <f t="shared" si="17"/>
        <v>3.7590090090090089</v>
      </c>
      <c r="H170" s="13">
        <f t="shared" si="15"/>
        <v>3.2429404432165167E-2</v>
      </c>
    </row>
    <row r="171" spans="1:8" x14ac:dyDescent="0.25">
      <c r="A171" s="3" t="s">
        <v>153</v>
      </c>
      <c r="B171" s="10">
        <v>12183</v>
      </c>
      <c r="C171" s="23">
        <f t="shared" si="16"/>
        <v>9.2758050185127797E-3</v>
      </c>
      <c r="E171" s="37">
        <v>3.1</v>
      </c>
      <c r="F171" s="13">
        <v>11.21</v>
      </c>
      <c r="G171" s="13">
        <f t="shared" si="17"/>
        <v>3.6161290322580646</v>
      </c>
      <c r="H171" s="13">
        <f t="shared" si="15"/>
        <v>3.3542507825009116E-2</v>
      </c>
    </row>
    <row r="172" spans="1:8" x14ac:dyDescent="0.25">
      <c r="A172" s="3" t="s">
        <v>154</v>
      </c>
      <c r="B172" s="10">
        <v>10511</v>
      </c>
      <c r="C172" s="23">
        <f t="shared" si="16"/>
        <v>8.0027896699981799E-3</v>
      </c>
      <c r="E172" s="37">
        <v>2.66</v>
      </c>
      <c r="F172" s="13">
        <v>14.64</v>
      </c>
      <c r="G172" s="13">
        <f t="shared" si="17"/>
        <v>5.503759398496241</v>
      </c>
      <c r="H172" s="13">
        <f t="shared" si="15"/>
        <v>4.4045428860441112E-2</v>
      </c>
    </row>
    <row r="173" spans="1:8" x14ac:dyDescent="0.25">
      <c r="A173" s="3" t="s">
        <v>155</v>
      </c>
      <c r="B173" s="10">
        <v>15455</v>
      </c>
      <c r="C173" s="23">
        <f t="shared" si="16"/>
        <v>1.1767016872782978E-2</v>
      </c>
      <c r="E173" s="37">
        <v>5.72</v>
      </c>
      <c r="F173" s="13">
        <v>15.49</v>
      </c>
      <c r="G173" s="13">
        <f t="shared" si="17"/>
        <v>2.7080419580419584</v>
      </c>
      <c r="H173" s="13">
        <f t="shared" si="15"/>
        <v>3.1865575412483978E-2</v>
      </c>
    </row>
    <row r="174" spans="1:8" x14ac:dyDescent="0.25">
      <c r="A174" s="3" t="s">
        <v>156</v>
      </c>
      <c r="B174" s="10">
        <v>15091</v>
      </c>
      <c r="C174" s="23">
        <f t="shared" si="16"/>
        <v>1.1489877167723579E-2</v>
      </c>
      <c r="E174" s="37">
        <v>10</v>
      </c>
      <c r="F174" s="13">
        <v>26.16</v>
      </c>
      <c r="G174" s="13">
        <f t="shared" si="17"/>
        <v>2.6160000000000001</v>
      </c>
      <c r="H174" s="13">
        <f t="shared" si="15"/>
        <v>3.0057518670764883E-2</v>
      </c>
    </row>
    <row r="175" spans="1:8" x14ac:dyDescent="0.25">
      <c r="A175" s="3" t="s">
        <v>157</v>
      </c>
      <c r="B175" s="10">
        <v>22062</v>
      </c>
      <c r="C175" s="23">
        <f t="shared" si="16"/>
        <v>1.6797407068737499E-2</v>
      </c>
      <c r="E175" s="37">
        <v>1.89</v>
      </c>
      <c r="F175" s="13">
        <v>9.57</v>
      </c>
      <c r="G175" s="13">
        <f t="shared" si="17"/>
        <v>5.0634920634920642</v>
      </c>
      <c r="H175" s="13">
        <f t="shared" si="15"/>
        <v>8.5053537379797817E-2</v>
      </c>
    </row>
    <row r="176" spans="1:8" x14ac:dyDescent="0.25">
      <c r="A176" s="3" t="s">
        <v>158</v>
      </c>
      <c r="B176" s="10">
        <v>15892</v>
      </c>
      <c r="C176" s="23">
        <f t="shared" si="16"/>
        <v>1.2099736793417476E-2</v>
      </c>
      <c r="E176" s="37">
        <v>1.43</v>
      </c>
      <c r="F176" s="13">
        <v>5.19</v>
      </c>
      <c r="G176" s="13">
        <f t="shared" si="17"/>
        <v>3.6293706293706296</v>
      </c>
      <c r="H176" s="13">
        <f t="shared" si="15"/>
        <v>4.3914429341144548E-2</v>
      </c>
    </row>
    <row r="177" spans="1:8" x14ac:dyDescent="0.25">
      <c r="A177" s="3" t="s">
        <v>159</v>
      </c>
      <c r="B177" s="10">
        <v>45275</v>
      </c>
      <c r="C177" s="23">
        <f t="shared" si="16"/>
        <v>3.4471154248802933E-2</v>
      </c>
      <c r="E177" s="37">
        <v>3.5</v>
      </c>
      <c r="F177" s="13">
        <v>10.15</v>
      </c>
      <c r="G177" s="13">
        <f t="shared" si="17"/>
        <v>2.9</v>
      </c>
      <c r="H177" s="13">
        <f t="shared" si="15"/>
        <v>9.9966347321528509E-2</v>
      </c>
    </row>
    <row r="178" spans="1:8" x14ac:dyDescent="0.25">
      <c r="A178" s="3" t="s">
        <v>160</v>
      </c>
      <c r="B178" s="10">
        <v>13909</v>
      </c>
      <c r="C178" s="23">
        <f t="shared" si="16"/>
        <v>1.0589934499096631E-2</v>
      </c>
      <c r="E178" s="37">
        <v>7.04</v>
      </c>
      <c r="F178" s="13">
        <v>19.510000000000002</v>
      </c>
      <c r="G178" s="13">
        <f t="shared" si="17"/>
        <v>2.7713068181818183</v>
      </c>
      <c r="H178" s="13">
        <f t="shared" si="15"/>
        <v>2.9347957681445352E-2</v>
      </c>
    </row>
    <row r="179" spans="1:8" x14ac:dyDescent="0.25">
      <c r="A179" s="3" t="s">
        <v>161</v>
      </c>
      <c r="B179" s="10">
        <v>14173</v>
      </c>
      <c r="C179" s="23">
        <f t="shared" si="16"/>
        <v>1.0790936922546304E-2</v>
      </c>
      <c r="E179" s="37">
        <v>10.02</v>
      </c>
      <c r="F179" s="13">
        <v>28.5</v>
      </c>
      <c r="G179" s="13">
        <f t="shared" si="17"/>
        <v>2.8443113772455093</v>
      </c>
      <c r="H179" s="13">
        <f t="shared" si="15"/>
        <v>3.0692784659937095E-2</v>
      </c>
    </row>
    <row r="180" spans="1:8" x14ac:dyDescent="0.25">
      <c r="A180" s="3" t="s">
        <v>162</v>
      </c>
      <c r="B180" s="10">
        <v>9860</v>
      </c>
      <c r="C180" s="23">
        <f t="shared" si="16"/>
        <v>7.5071359667188715E-3</v>
      </c>
      <c r="E180" s="37">
        <v>6.06</v>
      </c>
      <c r="F180" s="13">
        <v>17.37</v>
      </c>
      <c r="G180" s="13">
        <f t="shared" si="17"/>
        <v>2.8663366336633667</v>
      </c>
      <c r="H180" s="13">
        <f t="shared" si="15"/>
        <v>2.1517978835298154E-2</v>
      </c>
    </row>
    <row r="181" spans="1:8" x14ac:dyDescent="0.25">
      <c r="A181" s="3" t="s">
        <v>163</v>
      </c>
      <c r="B181" s="10">
        <v>17395</v>
      </c>
      <c r="C181" s="23">
        <f t="shared" si="16"/>
        <v>1.324408013601164E-2</v>
      </c>
      <c r="E181" s="37">
        <v>4.13</v>
      </c>
      <c r="F181" s="13">
        <v>10.68</v>
      </c>
      <c r="G181" s="13">
        <f t="shared" si="17"/>
        <v>2.5859564164648909</v>
      </c>
      <c r="H181" s="13">
        <f t="shared" si="15"/>
        <v>3.4248614007894508E-2</v>
      </c>
    </row>
    <row r="182" spans="1:8" x14ac:dyDescent="0.25">
      <c r="A182" s="3" t="s">
        <v>164</v>
      </c>
      <c r="B182" s="10">
        <v>16263</v>
      </c>
      <c r="C182" s="23">
        <f t="shared" si="16"/>
        <v>1.2382206108189554E-2</v>
      </c>
      <c r="E182" s="37">
        <v>12.54</v>
      </c>
      <c r="F182" s="13">
        <v>28.58</v>
      </c>
      <c r="G182" s="13">
        <f t="shared" si="17"/>
        <v>2.2791068580542264</v>
      </c>
      <c r="H182" s="13">
        <f t="shared" si="15"/>
        <v>2.8220370859015746E-2</v>
      </c>
    </row>
    <row r="183" spans="1:8" x14ac:dyDescent="0.25">
      <c r="A183" s="3" t="s">
        <v>165</v>
      </c>
      <c r="B183" s="10">
        <v>18327</v>
      </c>
      <c r="C183" s="23">
        <f t="shared" si="16"/>
        <v>1.3953679600614275E-2</v>
      </c>
      <c r="E183" s="37">
        <v>5.49</v>
      </c>
      <c r="F183" s="13">
        <v>15.75</v>
      </c>
      <c r="G183" s="13">
        <f t="shared" si="17"/>
        <v>2.8688524590163933</v>
      </c>
      <c r="H183" s="13">
        <f t="shared" si="15"/>
        <v>4.0031048034549148E-2</v>
      </c>
    </row>
    <row r="184" spans="1:8" x14ac:dyDescent="0.25">
      <c r="A184" s="3" t="s">
        <v>166</v>
      </c>
      <c r="B184" s="10">
        <v>43316</v>
      </c>
      <c r="C184" s="23">
        <f t="shared" si="16"/>
        <v>3.2979624902068419E-2</v>
      </c>
      <c r="E184" s="37">
        <v>8.6</v>
      </c>
      <c r="F184" s="13">
        <v>19.87</v>
      </c>
      <c r="G184" s="13">
        <f t="shared" si="17"/>
        <v>2.3104651162790701</v>
      </c>
      <c r="H184" s="13">
        <f t="shared" si="15"/>
        <v>7.6198272884197629E-2</v>
      </c>
    </row>
    <row r="185" spans="1:8" x14ac:dyDescent="0.25">
      <c r="A185" s="3" t="s">
        <v>167</v>
      </c>
      <c r="B185" s="10">
        <v>25681</v>
      </c>
      <c r="C185" s="23">
        <f t="shared" si="16"/>
        <v>1.9552815290193443E-2</v>
      </c>
      <c r="E185" s="37">
        <v>12.82</v>
      </c>
      <c r="F185" s="13">
        <v>30.06</v>
      </c>
      <c r="G185" s="13">
        <f t="shared" si="17"/>
        <v>2.344773790951638</v>
      </c>
      <c r="H185" s="13">
        <f t="shared" si="15"/>
        <v>4.5846928831764035E-2</v>
      </c>
    </row>
    <row r="186" spans="1:8" x14ac:dyDescent="0.25">
      <c r="A186" s="3" t="s">
        <v>168</v>
      </c>
      <c r="B186" s="10">
        <v>21047</v>
      </c>
      <c r="C186" s="23">
        <f t="shared" si="16"/>
        <v>1.6024613660398791E-2</v>
      </c>
      <c r="E186" s="37">
        <v>7.55</v>
      </c>
      <c r="F186" s="13">
        <v>18.670000000000002</v>
      </c>
      <c r="G186" s="13">
        <f t="shared" si="17"/>
        <v>2.4728476821192058</v>
      </c>
      <c r="H186" s="13">
        <f t="shared" si="15"/>
        <v>3.9626428746972912E-2</v>
      </c>
    </row>
    <row r="187" spans="1:8" x14ac:dyDescent="0.25">
      <c r="A187" s="3" t="s">
        <v>169</v>
      </c>
      <c r="B187" s="10">
        <v>10733</v>
      </c>
      <c r="C187" s="23">
        <f t="shared" si="16"/>
        <v>8.1718144351717696E-3</v>
      </c>
      <c r="E187" s="37">
        <v>16.72</v>
      </c>
      <c r="F187" s="13">
        <v>48.08</v>
      </c>
      <c r="G187" s="13">
        <f t="shared" si="17"/>
        <v>2.8755980861244019</v>
      </c>
      <c r="H187" s="13">
        <f t="shared" si="15"/>
        <v>2.34988539499437E-2</v>
      </c>
    </row>
    <row r="188" spans="1:8" x14ac:dyDescent="0.25">
      <c r="A188" s="3" t="s">
        <v>170</v>
      </c>
      <c r="B188" s="10">
        <v>44050</v>
      </c>
      <c r="C188" s="23">
        <f t="shared" si="16"/>
        <v>3.3538472549083799E-2</v>
      </c>
      <c r="E188" s="37">
        <v>5.03</v>
      </c>
      <c r="F188" s="13">
        <v>16.34</v>
      </c>
      <c r="G188" s="13">
        <f t="shared" si="17"/>
        <v>3.2485089463220675</v>
      </c>
      <c r="H188" s="13">
        <f t="shared" si="15"/>
        <v>0.1089500281216758</v>
      </c>
    </row>
    <row r="189" spans="1:8" x14ac:dyDescent="0.25">
      <c r="A189" s="3" t="s">
        <v>171</v>
      </c>
      <c r="B189" s="10">
        <v>20115</v>
      </c>
      <c r="C189" s="23">
        <f t="shared" si="16"/>
        <v>1.5315014195796155E-2</v>
      </c>
      <c r="E189" s="37">
        <v>11.05</v>
      </c>
      <c r="F189" s="13">
        <v>24.37</v>
      </c>
      <c r="G189" s="13">
        <f t="shared" si="17"/>
        <v>2.2054298642533938</v>
      </c>
      <c r="H189" s="13">
        <f t="shared" si="15"/>
        <v>3.3776189678873511E-2</v>
      </c>
    </row>
    <row r="190" spans="1:8" x14ac:dyDescent="0.25">
      <c r="A190" s="3" t="s">
        <v>172</v>
      </c>
      <c r="B190" s="10">
        <v>36281</v>
      </c>
      <c r="C190" s="23">
        <f t="shared" si="16"/>
        <v>2.7623367140824279E-2</v>
      </c>
      <c r="E190" s="37">
        <v>3.15</v>
      </c>
      <c r="F190" s="13">
        <v>9.15</v>
      </c>
      <c r="G190" s="13">
        <f t="shared" si="17"/>
        <v>2.9047619047619051</v>
      </c>
      <c r="H190" s="13">
        <f t="shared" si="15"/>
        <v>8.0239304551918147E-2</v>
      </c>
    </row>
    <row r="191" spans="1:8" x14ac:dyDescent="0.25">
      <c r="A191" s="3" t="s">
        <v>173</v>
      </c>
      <c r="B191" s="10">
        <v>162273</v>
      </c>
      <c r="C191" s="23">
        <f>B191/B$193</f>
        <v>0.12355025098654883</v>
      </c>
      <c r="E191" s="37">
        <v>4.7300000000000004</v>
      </c>
      <c r="F191" s="13">
        <v>19.59</v>
      </c>
      <c r="G191" s="13">
        <f t="shared" si="17"/>
        <v>4.1416490486257924</v>
      </c>
      <c r="H191" s="13">
        <f t="shared" si="15"/>
        <v>0.51170177945591788</v>
      </c>
    </row>
    <row r="192" spans="1:8" x14ac:dyDescent="0.25">
      <c r="A192" s="3" t="s">
        <v>174</v>
      </c>
      <c r="B192" s="10">
        <v>315554</v>
      </c>
      <c r="C192" s="23">
        <f t="shared" si="16"/>
        <v>0.24025423761075118</v>
      </c>
      <c r="E192" s="37">
        <v>6.23</v>
      </c>
      <c r="F192" s="13">
        <v>16.03</v>
      </c>
      <c r="G192" s="13">
        <f t="shared" si="17"/>
        <v>2.5730337078651684</v>
      </c>
      <c r="H192" s="13">
        <f t="shared" si="15"/>
        <v>0.61818225182991027</v>
      </c>
    </row>
    <row r="193" spans="1:8" x14ac:dyDescent="0.25">
      <c r="A193" s="20" t="s">
        <v>0</v>
      </c>
      <c r="B193" s="21">
        <f>SUM(B140:B192)</f>
        <v>1313417</v>
      </c>
      <c r="C193" s="22">
        <f>B193/B$193</f>
        <v>1</v>
      </c>
      <c r="D193" s="18"/>
      <c r="E193" s="18"/>
      <c r="F193" s="18"/>
      <c r="G193" s="39"/>
      <c r="H193" s="19">
        <f>SUM(H140:H192)</f>
        <v>2.9516055125512719</v>
      </c>
    </row>
    <row r="194" spans="1:8" x14ac:dyDescent="0.25">
      <c r="B194" s="10"/>
      <c r="C194" s="23"/>
      <c r="E194" s="37"/>
      <c r="F194" s="13"/>
      <c r="G194" s="13"/>
      <c r="H194" s="13"/>
    </row>
    <row r="195" spans="1:8" x14ac:dyDescent="0.25">
      <c r="A195" s="17" t="s">
        <v>175</v>
      </c>
      <c r="B195" s="10">
        <f>B114</f>
        <v>1654577</v>
      </c>
      <c r="C195" s="23">
        <f>B195/B$198</f>
        <v>0.51016820121121154</v>
      </c>
      <c r="E195" s="37"/>
      <c r="F195" s="13"/>
      <c r="G195" s="13">
        <f>H114</f>
        <v>3.1224393040341103</v>
      </c>
      <c r="H195" s="13">
        <f>G195*C195</f>
        <v>1.5929692431302693</v>
      </c>
    </row>
    <row r="196" spans="1:8" x14ac:dyDescent="0.25">
      <c r="A196" s="17" t="s">
        <v>176</v>
      </c>
      <c r="B196" s="10">
        <f>B138</f>
        <v>275205</v>
      </c>
      <c r="C196" s="23">
        <f>B196/B$198</f>
        <v>8.4856032577711085E-2</v>
      </c>
      <c r="E196" s="37"/>
      <c r="F196" s="13"/>
      <c r="G196" s="13">
        <f>H138</f>
        <v>3.7066608458204353</v>
      </c>
      <c r="H196" s="13">
        <f>G196*C196</f>
        <v>0.31453253348746496</v>
      </c>
    </row>
    <row r="197" spans="1:8" x14ac:dyDescent="0.25">
      <c r="A197" s="17" t="s">
        <v>177</v>
      </c>
      <c r="B197" s="10">
        <f>B193</f>
        <v>1313417</v>
      </c>
      <c r="C197" s="23">
        <f>B197/B$198</f>
        <v>0.40497576621107739</v>
      </c>
      <c r="E197" s="37"/>
      <c r="F197" s="13"/>
      <c r="G197" s="13">
        <f>H193</f>
        <v>2.9516055125512719</v>
      </c>
      <c r="H197" s="13">
        <f>G197*C197</f>
        <v>1.1953287039982912</v>
      </c>
    </row>
    <row r="198" spans="1:8" x14ac:dyDescent="0.25">
      <c r="A198" s="20" t="s">
        <v>0</v>
      </c>
      <c r="B198" s="21">
        <f>SUM(B195:B197)</f>
        <v>3243199</v>
      </c>
      <c r="C198" s="25">
        <f>B198/B$198</f>
        <v>1</v>
      </c>
      <c r="D198" s="18"/>
      <c r="E198" s="18"/>
      <c r="F198" s="18"/>
      <c r="G198" s="39"/>
      <c r="H198" s="19">
        <f>SUM(H195:H197)</f>
        <v>3.1028304806160252</v>
      </c>
    </row>
    <row r="201" spans="1:8" x14ac:dyDescent="0.25">
      <c r="A201" s="9" t="s">
        <v>946</v>
      </c>
    </row>
    <row r="202" spans="1:8" x14ac:dyDescent="0.25">
      <c r="A202" s="3" t="s">
        <v>178</v>
      </c>
      <c r="B202" s="10">
        <v>10415</v>
      </c>
      <c r="C202" s="23">
        <f>B202/B$267</f>
        <v>7.7579779052193354E-3</v>
      </c>
      <c r="E202" s="37">
        <v>14.44</v>
      </c>
      <c r="F202" s="13">
        <v>33.75</v>
      </c>
      <c r="G202" s="13">
        <f>F202/E202</f>
        <v>2.337257617728532</v>
      </c>
      <c r="H202" s="13">
        <f>G202*C202</f>
        <v>1.8132392957143532E-2</v>
      </c>
    </row>
    <row r="203" spans="1:8" x14ac:dyDescent="0.25">
      <c r="A203" s="3" t="s">
        <v>179</v>
      </c>
      <c r="B203" s="10">
        <v>36354</v>
      </c>
      <c r="C203" s="23">
        <f t="shared" ref="C203:C266" si="18">B203/B$267</f>
        <v>2.7079551489807365E-2</v>
      </c>
      <c r="E203" s="37">
        <v>2.06</v>
      </c>
      <c r="F203" s="13">
        <v>11.97</v>
      </c>
      <c r="G203" s="13">
        <f t="shared" ref="G203:G252" si="19">F203/E203</f>
        <v>5.8106796116504853</v>
      </c>
      <c r="H203" s="13">
        <f>G203*C203</f>
        <v>0.15735059773446319</v>
      </c>
    </row>
    <row r="204" spans="1:8" x14ac:dyDescent="0.25">
      <c r="A204" s="3" t="s">
        <v>180</v>
      </c>
      <c r="B204" s="10">
        <v>38207</v>
      </c>
      <c r="C204" s="23">
        <f t="shared" si="18"/>
        <v>2.8459823506933761E-2</v>
      </c>
      <c r="E204" s="37">
        <v>3.17</v>
      </c>
      <c r="F204" s="13">
        <v>11.26</v>
      </c>
      <c r="G204" s="13">
        <f t="shared" si="19"/>
        <v>3.55205047318612</v>
      </c>
      <c r="H204" s="13">
        <f>G204*C204</f>
        <v>0.10109072955459752</v>
      </c>
    </row>
    <row r="205" spans="1:8" x14ac:dyDescent="0.25">
      <c r="A205" s="3" t="s">
        <v>181</v>
      </c>
      <c r="B205" s="10">
        <v>20766</v>
      </c>
      <c r="C205" s="23">
        <f t="shared" si="18"/>
        <v>1.5468283166565983E-2</v>
      </c>
      <c r="E205" s="37">
        <v>10.119999999999999</v>
      </c>
      <c r="F205" s="13">
        <v>35.57</v>
      </c>
      <c r="G205" s="13">
        <f t="shared" si="19"/>
        <v>3.514822134387352</v>
      </c>
      <c r="H205" s="13">
        <f>G205*C205</f>
        <v>5.4368264054817393E-2</v>
      </c>
    </row>
    <row r="206" spans="1:8" x14ac:dyDescent="0.25">
      <c r="A206" s="3" t="s">
        <v>182</v>
      </c>
      <c r="B206" s="10">
        <v>7789</v>
      </c>
      <c r="C206" s="23">
        <f t="shared" si="18"/>
        <v>5.8019097363181376E-3</v>
      </c>
      <c r="E206" s="37">
        <v>15.69</v>
      </c>
      <c r="F206" s="13">
        <v>46.68</v>
      </c>
      <c r="G206" s="13">
        <f t="shared" si="19"/>
        <v>2.9751434034416828</v>
      </c>
      <c r="H206" s="13">
        <f>G206*C206</f>
        <v>1.726151347937098E-2</v>
      </c>
    </row>
    <row r="207" spans="1:8" x14ac:dyDescent="0.25">
      <c r="A207" s="3" t="s">
        <v>183</v>
      </c>
      <c r="B207" s="10">
        <v>7382</v>
      </c>
      <c r="C207" s="23">
        <f t="shared" si="18"/>
        <v>5.4987415166902675E-3</v>
      </c>
      <c r="E207" s="37">
        <v>13.01</v>
      </c>
      <c r="F207" s="13">
        <v>30.51</v>
      </c>
      <c r="G207" s="13">
        <f t="shared" si="19"/>
        <v>2.3451191391237511</v>
      </c>
      <c r="H207" s="13">
        <f t="shared" ref="H207:H252" si="20">G207*C207</f>
        <v>1.2895203971884709E-2</v>
      </c>
    </row>
    <row r="208" spans="1:8" x14ac:dyDescent="0.25">
      <c r="A208" s="3" t="s">
        <v>184</v>
      </c>
      <c r="B208" s="10">
        <v>52421</v>
      </c>
      <c r="C208" s="23">
        <f t="shared" si="18"/>
        <v>3.9047619757033393E-2</v>
      </c>
      <c r="E208" s="37">
        <v>4.13</v>
      </c>
      <c r="F208" s="13">
        <v>18.46</v>
      </c>
      <c r="G208" s="13">
        <f t="shared" si="19"/>
        <v>4.4697336561743342</v>
      </c>
      <c r="H208" s="13">
        <f t="shared" si="20"/>
        <v>0.17453246022151003</v>
      </c>
    </row>
    <row r="209" spans="1:8" x14ac:dyDescent="0.25">
      <c r="A209" s="3" t="s">
        <v>185</v>
      </c>
      <c r="B209" s="10">
        <v>7007</v>
      </c>
      <c r="C209" s="23">
        <f t="shared" si="18"/>
        <v>5.2194096189987407E-3</v>
      </c>
      <c r="E209" s="37">
        <v>10.75</v>
      </c>
      <c r="F209" s="13">
        <v>28.8</v>
      </c>
      <c r="G209" s="13">
        <f t="shared" si="19"/>
        <v>2.6790697674418604</v>
      </c>
      <c r="H209" s="13">
        <f t="shared" si="20"/>
        <v>1.3983162514154766E-2</v>
      </c>
    </row>
    <row r="210" spans="1:8" x14ac:dyDescent="0.25">
      <c r="A210" s="3" t="s">
        <v>186</v>
      </c>
      <c r="B210" s="10">
        <v>6805</v>
      </c>
      <c r="C210" s="23">
        <f t="shared" si="18"/>
        <v>5.0689428367755715E-3</v>
      </c>
      <c r="E210" s="37">
        <v>17.149999999999999</v>
      </c>
      <c r="F210" s="13">
        <v>35.46</v>
      </c>
      <c r="G210" s="13">
        <f t="shared" si="19"/>
        <v>2.0676384839650148</v>
      </c>
      <c r="H210" s="13">
        <f t="shared" si="20"/>
        <v>1.0480741282335964E-2</v>
      </c>
    </row>
    <row r="211" spans="1:8" x14ac:dyDescent="0.25">
      <c r="A211" s="3" t="s">
        <v>187</v>
      </c>
      <c r="B211" s="10">
        <v>22980</v>
      </c>
      <c r="C211" s="23">
        <f t="shared" si="18"/>
        <v>1.7117458690536758E-2</v>
      </c>
      <c r="E211" s="37">
        <v>3.24</v>
      </c>
      <c r="F211" s="13">
        <v>9.92</v>
      </c>
      <c r="G211" s="13">
        <f t="shared" si="19"/>
        <v>3.0617283950617282</v>
      </c>
      <c r="H211" s="13">
        <f t="shared" si="20"/>
        <v>5.2409009324112542E-2</v>
      </c>
    </row>
    <row r="212" spans="1:8" x14ac:dyDescent="0.25">
      <c r="A212" s="3" t="s">
        <v>188</v>
      </c>
      <c r="B212" s="10">
        <v>8783</v>
      </c>
      <c r="C212" s="23">
        <f t="shared" si="18"/>
        <v>6.5423254864658111E-3</v>
      </c>
      <c r="E212" s="37">
        <v>10.78</v>
      </c>
      <c r="F212" s="13">
        <v>22.58</v>
      </c>
      <c r="G212" s="13">
        <f t="shared" si="19"/>
        <v>2.0946196660482372</v>
      </c>
      <c r="H212" s="13">
        <f t="shared" si="20"/>
        <v>1.3703683625639888E-2</v>
      </c>
    </row>
    <row r="213" spans="1:8" x14ac:dyDescent="0.25">
      <c r="A213" s="3" t="s">
        <v>189</v>
      </c>
      <c r="B213" s="10">
        <v>14314</v>
      </c>
      <c r="C213" s="23">
        <f t="shared" si="18"/>
        <v>1.0662284756150702E-2</v>
      </c>
      <c r="E213" s="37">
        <v>11.68</v>
      </c>
      <c r="F213" s="13">
        <v>29.41</v>
      </c>
      <c r="G213" s="13">
        <f t="shared" si="19"/>
        <v>2.5179794520547945</v>
      </c>
      <c r="H213" s="13">
        <f t="shared" si="20"/>
        <v>2.6847413927944534E-2</v>
      </c>
    </row>
    <row r="214" spans="1:8" x14ac:dyDescent="0.25">
      <c r="A214" s="3" t="s">
        <v>190</v>
      </c>
      <c r="B214" s="10">
        <v>6552</v>
      </c>
      <c r="C214" s="23">
        <f t="shared" si="18"/>
        <v>4.8804869164663549E-3</v>
      </c>
      <c r="E214" s="37">
        <v>11.43</v>
      </c>
      <c r="F214" s="13">
        <v>17.87</v>
      </c>
      <c r="G214" s="13">
        <f t="shared" si="19"/>
        <v>1.5634295713035873</v>
      </c>
      <c r="H214" s="13">
        <f t="shared" si="20"/>
        <v>7.6302975675637602E-3</v>
      </c>
    </row>
    <row r="215" spans="1:8" x14ac:dyDescent="0.25">
      <c r="A215" s="3" t="s">
        <v>191</v>
      </c>
      <c r="B215" s="10">
        <v>12000</v>
      </c>
      <c r="C215" s="23">
        <f t="shared" si="18"/>
        <v>8.9386207261288545E-3</v>
      </c>
      <c r="E215" s="37">
        <v>7.6</v>
      </c>
      <c r="F215" s="13">
        <v>24.49</v>
      </c>
      <c r="G215" s="13">
        <f t="shared" si="19"/>
        <v>3.2223684210526313</v>
      </c>
      <c r="H215" s="13">
        <f t="shared" si="20"/>
        <v>2.8803529155644162E-2</v>
      </c>
    </row>
    <row r="216" spans="1:8" x14ac:dyDescent="0.25">
      <c r="A216" s="3" t="s">
        <v>192</v>
      </c>
      <c r="B216" s="10">
        <v>14072</v>
      </c>
      <c r="C216" s="23">
        <f t="shared" si="18"/>
        <v>1.0482022571507104E-2</v>
      </c>
      <c r="E216" s="37">
        <v>9.18</v>
      </c>
      <c r="F216" s="13">
        <v>19.89</v>
      </c>
      <c r="G216" s="13">
        <f t="shared" si="19"/>
        <v>2.166666666666667</v>
      </c>
      <c r="H216" s="13">
        <f t="shared" si="20"/>
        <v>2.2711048904932061E-2</v>
      </c>
    </row>
    <row r="217" spans="1:8" x14ac:dyDescent="0.25">
      <c r="A217" s="3" t="s">
        <v>193</v>
      </c>
      <c r="B217" s="10">
        <v>9807</v>
      </c>
      <c r="C217" s="23">
        <f t="shared" si="18"/>
        <v>7.3050877884288067E-3</v>
      </c>
      <c r="E217" s="37">
        <v>12.17</v>
      </c>
      <c r="F217" s="13">
        <v>25.14</v>
      </c>
      <c r="G217" s="13">
        <f t="shared" si="19"/>
        <v>2.0657354149548071</v>
      </c>
      <c r="H217" s="13">
        <f t="shared" si="20"/>
        <v>1.5090378553911274E-2</v>
      </c>
    </row>
    <row r="218" spans="1:8" x14ac:dyDescent="0.25">
      <c r="A218" s="3" t="s">
        <v>194</v>
      </c>
      <c r="B218" s="10">
        <v>20230</v>
      </c>
      <c r="C218" s="23">
        <f t="shared" si="18"/>
        <v>1.5069024774132227E-2</v>
      </c>
      <c r="E218" s="37">
        <v>2.71</v>
      </c>
      <c r="F218" s="13">
        <v>11.94</v>
      </c>
      <c r="G218" s="13">
        <f t="shared" si="19"/>
        <v>4.4059040590405907</v>
      </c>
      <c r="H218" s="13">
        <f t="shared" si="20"/>
        <v>6.6392677418132401E-2</v>
      </c>
    </row>
    <row r="219" spans="1:8" x14ac:dyDescent="0.25">
      <c r="A219" s="3" t="s">
        <v>195</v>
      </c>
      <c r="B219" s="10">
        <v>11370</v>
      </c>
      <c r="C219" s="23">
        <f t="shared" si="18"/>
        <v>8.4693431380070891E-3</v>
      </c>
      <c r="E219" s="37">
        <v>9.3000000000000007</v>
      </c>
      <c r="F219" s="13">
        <v>32.979999999999997</v>
      </c>
      <c r="G219" s="13">
        <f t="shared" si="19"/>
        <v>3.5462365591397842</v>
      </c>
      <c r="H219" s="13">
        <f t="shared" si="20"/>
        <v>3.0034294267900403E-2</v>
      </c>
    </row>
    <row r="220" spans="1:8" x14ac:dyDescent="0.25">
      <c r="A220" s="3" t="s">
        <v>196</v>
      </c>
      <c r="B220" s="10">
        <v>77893</v>
      </c>
      <c r="C220" s="23">
        <f t="shared" si="18"/>
        <v>5.8021332018362903E-2</v>
      </c>
      <c r="E220" s="37">
        <v>3.57</v>
      </c>
      <c r="F220" s="13">
        <v>12.71</v>
      </c>
      <c r="G220" s="13">
        <f t="shared" si="19"/>
        <v>3.5602240896358546</v>
      </c>
      <c r="H220" s="13">
        <f t="shared" si="20"/>
        <v>0.20656894396453573</v>
      </c>
    </row>
    <row r="221" spans="1:8" x14ac:dyDescent="0.25">
      <c r="A221" s="3" t="s">
        <v>197</v>
      </c>
      <c r="B221" s="10">
        <v>7128</v>
      </c>
      <c r="C221" s="23">
        <f t="shared" si="18"/>
        <v>5.3095407113205395E-3</v>
      </c>
      <c r="E221" s="37">
        <v>8.56</v>
      </c>
      <c r="F221" s="13">
        <v>22.72</v>
      </c>
      <c r="G221" s="13">
        <f t="shared" si="19"/>
        <v>2.6542056074766354</v>
      </c>
      <c r="H221" s="13">
        <f t="shared" si="20"/>
        <v>1.4092612729112459E-2</v>
      </c>
    </row>
    <row r="222" spans="1:8" x14ac:dyDescent="0.25">
      <c r="A222" s="3" t="s">
        <v>198</v>
      </c>
      <c r="B222" s="10">
        <v>35102</v>
      </c>
      <c r="C222" s="23">
        <f t="shared" si="18"/>
        <v>2.6146955394047922E-2</v>
      </c>
      <c r="E222" s="37">
        <v>6.46</v>
      </c>
      <c r="F222" s="13">
        <v>15.75</v>
      </c>
      <c r="G222" s="13">
        <f t="shared" si="19"/>
        <v>2.4380804953560373</v>
      </c>
      <c r="H222" s="13">
        <f t="shared" si="20"/>
        <v>6.3748381959172568E-2</v>
      </c>
    </row>
    <row r="223" spans="1:8" x14ac:dyDescent="0.25">
      <c r="A223" s="3" t="s">
        <v>199</v>
      </c>
      <c r="B223" s="10">
        <v>9288</v>
      </c>
      <c r="C223" s="23">
        <f t="shared" si="18"/>
        <v>6.9184924420237336E-3</v>
      </c>
      <c r="E223" s="37">
        <v>7.51</v>
      </c>
      <c r="F223" s="13">
        <v>24.36</v>
      </c>
      <c r="G223" s="13">
        <f t="shared" si="19"/>
        <v>3.2436750998668442</v>
      </c>
      <c r="H223" s="13">
        <f t="shared" si="20"/>
        <v>2.2441341662809342E-2</v>
      </c>
    </row>
    <row r="224" spans="1:8" x14ac:dyDescent="0.25">
      <c r="A224" s="3" t="s">
        <v>200</v>
      </c>
      <c r="B224" s="10">
        <v>11485</v>
      </c>
      <c r="C224" s="23">
        <f t="shared" si="18"/>
        <v>8.5550049199658255E-3</v>
      </c>
      <c r="E224" s="37">
        <v>11.79</v>
      </c>
      <c r="F224" s="13">
        <v>30.31</v>
      </c>
      <c r="G224" s="13">
        <f t="shared" si="19"/>
        <v>2.5708227311280747</v>
      </c>
      <c r="H224" s="13">
        <f t="shared" si="20"/>
        <v>2.1993401113160661E-2</v>
      </c>
    </row>
    <row r="225" spans="1:8" x14ac:dyDescent="0.25">
      <c r="A225" s="3" t="s">
        <v>201</v>
      </c>
      <c r="B225" s="10">
        <v>8314</v>
      </c>
      <c r="C225" s="23">
        <f t="shared" si="18"/>
        <v>6.1929743930862749E-3</v>
      </c>
      <c r="E225" s="37">
        <v>10.199999999999999</v>
      </c>
      <c r="F225" s="13">
        <v>19.97</v>
      </c>
      <c r="G225" s="13">
        <f t="shared" si="19"/>
        <v>1.9578431372549019</v>
      </c>
      <c r="H225" s="13">
        <f t="shared" si="20"/>
        <v>1.2124872414699304E-2</v>
      </c>
    </row>
    <row r="226" spans="1:8" x14ac:dyDescent="0.25">
      <c r="A226" s="3" t="s">
        <v>202</v>
      </c>
      <c r="B226" s="10">
        <v>53348</v>
      </c>
      <c r="C226" s="23">
        <f t="shared" si="18"/>
        <v>3.9738128208126847E-2</v>
      </c>
      <c r="E226" s="37">
        <v>3.02</v>
      </c>
      <c r="F226" s="13">
        <v>14.57</v>
      </c>
      <c r="G226" s="13">
        <f t="shared" si="19"/>
        <v>4.8245033112582778</v>
      </c>
      <c r="H226" s="13">
        <f t="shared" si="20"/>
        <v>0.19171673112331394</v>
      </c>
    </row>
    <row r="227" spans="1:8" x14ac:dyDescent="0.25">
      <c r="A227" s="3" t="s">
        <v>203</v>
      </c>
      <c r="B227" s="10">
        <v>37333</v>
      </c>
      <c r="C227" s="23">
        <f t="shared" si="18"/>
        <v>2.7808793964047378E-2</v>
      </c>
      <c r="E227" s="37">
        <v>4.0199999999999996</v>
      </c>
      <c r="F227" s="13">
        <v>10.97</v>
      </c>
      <c r="G227" s="13">
        <f t="shared" si="19"/>
        <v>2.7288557213930353</v>
      </c>
      <c r="H227" s="13">
        <f t="shared" si="20"/>
        <v>7.5886186513830792E-2</v>
      </c>
    </row>
    <row r="228" spans="1:8" x14ac:dyDescent="0.25">
      <c r="A228" s="3" t="s">
        <v>204</v>
      </c>
      <c r="B228" s="10">
        <v>6247</v>
      </c>
      <c r="C228" s="23">
        <f t="shared" si="18"/>
        <v>4.6532969730105796E-3</v>
      </c>
      <c r="E228" s="37">
        <v>9.75</v>
      </c>
      <c r="F228" s="13">
        <v>25.35</v>
      </c>
      <c r="G228" s="13">
        <f t="shared" si="19"/>
        <v>2.6</v>
      </c>
      <c r="H228" s="13">
        <f t="shared" si="20"/>
        <v>1.2098572129827507E-2</v>
      </c>
    </row>
    <row r="229" spans="1:8" x14ac:dyDescent="0.25">
      <c r="A229" s="3" t="s">
        <v>205</v>
      </c>
      <c r="B229" s="10">
        <v>15874</v>
      </c>
      <c r="C229" s="23">
        <f t="shared" si="18"/>
        <v>1.1824305450547454E-2</v>
      </c>
      <c r="E229" s="37">
        <v>12.77</v>
      </c>
      <c r="F229" s="13">
        <v>29.77</v>
      </c>
      <c r="G229" s="13">
        <f t="shared" si="19"/>
        <v>2.3312451057165231</v>
      </c>
      <c r="H229" s="13">
        <f t="shared" si="20"/>
        <v>2.7565354210085959E-2</v>
      </c>
    </row>
    <row r="230" spans="1:8" x14ac:dyDescent="0.25">
      <c r="A230" s="3" t="s">
        <v>206</v>
      </c>
      <c r="B230" s="10">
        <v>19757</v>
      </c>
      <c r="C230" s="23">
        <f t="shared" si="18"/>
        <v>1.4716694140510649E-2</v>
      </c>
      <c r="E230" s="37">
        <v>10.53</v>
      </c>
      <c r="F230" s="13">
        <v>31.34</v>
      </c>
      <c r="G230" s="13">
        <f t="shared" si="19"/>
        <v>2.9762583095916431</v>
      </c>
      <c r="H230" s="13">
        <f t="shared" si="20"/>
        <v>4.3800683225413466E-2</v>
      </c>
    </row>
    <row r="231" spans="1:8" x14ac:dyDescent="0.25">
      <c r="A231" s="3" t="s">
        <v>207</v>
      </c>
      <c r="B231" s="10">
        <v>9733</v>
      </c>
      <c r="C231" s="23">
        <f t="shared" si="18"/>
        <v>7.249966293951012E-3</v>
      </c>
      <c r="E231" s="37">
        <v>12.75</v>
      </c>
      <c r="F231" s="13">
        <v>38.229999999999997</v>
      </c>
      <c r="G231" s="13">
        <f t="shared" si="19"/>
        <v>2.9984313725490193</v>
      </c>
      <c r="H231" s="13">
        <f t="shared" si="20"/>
        <v>2.1738526385705659E-2</v>
      </c>
    </row>
    <row r="232" spans="1:8" x14ac:dyDescent="0.25">
      <c r="A232" s="3" t="s">
        <v>208</v>
      </c>
      <c r="B232" s="10">
        <v>29644</v>
      </c>
      <c r="C232" s="23">
        <f t="shared" si="18"/>
        <v>2.2081372733780313E-2</v>
      </c>
      <c r="E232" s="37">
        <v>4.17</v>
      </c>
      <c r="F232" s="13">
        <v>13.43</v>
      </c>
      <c r="G232" s="13">
        <f t="shared" si="19"/>
        <v>3.2206235011990407</v>
      </c>
      <c r="H232" s="13">
        <f t="shared" si="20"/>
        <v>7.1115787965148586E-2</v>
      </c>
    </row>
    <row r="233" spans="1:8" x14ac:dyDescent="0.25">
      <c r="A233" s="3" t="s">
        <v>209</v>
      </c>
      <c r="B233" s="10">
        <v>11500</v>
      </c>
      <c r="C233" s="23">
        <f t="shared" si="18"/>
        <v>8.5661781958734865E-3</v>
      </c>
      <c r="E233" s="37">
        <v>16.09</v>
      </c>
      <c r="F233" s="13">
        <v>32.74</v>
      </c>
      <c r="G233" s="13">
        <f t="shared" si="19"/>
        <v>2.0348042262274708</v>
      </c>
      <c r="H233" s="13">
        <f t="shared" si="20"/>
        <v>1.7430495595580981E-2</v>
      </c>
    </row>
    <row r="234" spans="1:8" x14ac:dyDescent="0.25">
      <c r="A234" s="3" t="s">
        <v>210</v>
      </c>
      <c r="B234" s="10">
        <v>14455</v>
      </c>
      <c r="C234" s="23">
        <f t="shared" si="18"/>
        <v>1.0767313549682717E-2</v>
      </c>
      <c r="E234" s="37">
        <v>7.77</v>
      </c>
      <c r="F234" s="13">
        <v>16.34</v>
      </c>
      <c r="G234" s="13">
        <f t="shared" si="19"/>
        <v>2.1029601029601031</v>
      </c>
      <c r="H234" s="13">
        <f t="shared" si="20"/>
        <v>2.2643230811044478E-2</v>
      </c>
    </row>
    <row r="235" spans="1:8" x14ac:dyDescent="0.25">
      <c r="A235" s="3" t="s">
        <v>211</v>
      </c>
      <c r="B235" s="10">
        <v>13671</v>
      </c>
      <c r="C235" s="23">
        <f t="shared" si="18"/>
        <v>1.0183323662242299E-2</v>
      </c>
      <c r="E235" s="37">
        <v>14.16</v>
      </c>
      <c r="F235" s="13">
        <v>32.57</v>
      </c>
      <c r="G235" s="13">
        <f t="shared" si="19"/>
        <v>2.3001412429378529</v>
      </c>
      <c r="H235" s="13">
        <f t="shared" si="20"/>
        <v>2.3423082745708448E-2</v>
      </c>
    </row>
    <row r="236" spans="1:8" x14ac:dyDescent="0.25">
      <c r="A236" s="3" t="s">
        <v>212</v>
      </c>
      <c r="B236" s="10">
        <v>20222</v>
      </c>
      <c r="C236" s="23">
        <f t="shared" si="18"/>
        <v>1.5063065693648141E-2</v>
      </c>
      <c r="E236" s="37">
        <v>14.8</v>
      </c>
      <c r="F236" s="13">
        <v>38.94</v>
      </c>
      <c r="G236" s="13">
        <f t="shared" si="19"/>
        <v>2.631081081081081</v>
      </c>
      <c r="H236" s="13">
        <f t="shared" si="20"/>
        <v>3.9632147169639094E-2</v>
      </c>
    </row>
    <row r="237" spans="1:8" x14ac:dyDescent="0.25">
      <c r="A237" s="3" t="s">
        <v>213</v>
      </c>
      <c r="B237" s="10">
        <v>12863</v>
      </c>
      <c r="C237" s="23">
        <f t="shared" si="18"/>
        <v>9.5814565333496218E-3</v>
      </c>
      <c r="E237" s="37">
        <v>12.81</v>
      </c>
      <c r="F237" s="13">
        <v>38.590000000000003</v>
      </c>
      <c r="G237" s="13">
        <f t="shared" si="19"/>
        <v>3.0124902419984387</v>
      </c>
      <c r="H237" s="13">
        <f t="shared" si="20"/>
        <v>2.8864044310847922E-2</v>
      </c>
    </row>
    <row r="238" spans="1:8" x14ac:dyDescent="0.25">
      <c r="A238" s="3" t="s">
        <v>214</v>
      </c>
      <c r="B238" s="10">
        <v>37616</v>
      </c>
      <c r="C238" s="23">
        <f t="shared" si="18"/>
        <v>2.8019596436171915E-2</v>
      </c>
      <c r="E238" s="37">
        <v>3.88</v>
      </c>
      <c r="F238" s="13">
        <v>14.73</v>
      </c>
      <c r="G238" s="13">
        <f t="shared" si="19"/>
        <v>3.7963917525773199</v>
      </c>
      <c r="H238" s="13">
        <f t="shared" si="20"/>
        <v>0.10637336482082792</v>
      </c>
    </row>
    <row r="239" spans="1:8" x14ac:dyDescent="0.25">
      <c r="A239" s="3" t="s">
        <v>215</v>
      </c>
      <c r="B239" s="10">
        <v>15822</v>
      </c>
      <c r="C239" s="23">
        <f t="shared" si="18"/>
        <v>1.1785571427400894E-2</v>
      </c>
      <c r="E239" s="37">
        <v>11.81</v>
      </c>
      <c r="F239" s="13">
        <v>32.770000000000003</v>
      </c>
      <c r="G239" s="13">
        <f t="shared" si="19"/>
        <v>2.7747671464860288</v>
      </c>
      <c r="H239" s="13">
        <f t="shared" si="20"/>
        <v>3.2702216399316454E-2</v>
      </c>
    </row>
    <row r="240" spans="1:8" x14ac:dyDescent="0.25">
      <c r="A240" s="3" t="s">
        <v>216</v>
      </c>
      <c r="B240" s="10">
        <v>11681</v>
      </c>
      <c r="C240" s="23">
        <f t="shared" si="18"/>
        <v>8.7010023918259287E-3</v>
      </c>
      <c r="E240" s="37">
        <v>13.24</v>
      </c>
      <c r="F240" s="13">
        <v>34.03</v>
      </c>
      <c r="G240" s="13">
        <f t="shared" si="19"/>
        <v>2.5702416918429005</v>
      </c>
      <c r="H240" s="13">
        <f t="shared" si="20"/>
        <v>2.23636791082958E-2</v>
      </c>
    </row>
    <row r="241" spans="1:8" x14ac:dyDescent="0.25">
      <c r="A241" s="3" t="s">
        <v>217</v>
      </c>
      <c r="B241" s="10">
        <v>37030</v>
      </c>
      <c r="C241" s="23">
        <f t="shared" si="18"/>
        <v>2.7583093790712623E-2</v>
      </c>
      <c r="E241" s="37">
        <v>3.7</v>
      </c>
      <c r="F241" s="13">
        <v>16.32</v>
      </c>
      <c r="G241" s="13">
        <f t="shared" si="19"/>
        <v>4.4108108108108111</v>
      </c>
      <c r="H241" s="13">
        <f t="shared" si="20"/>
        <v>0.12166380828768379</v>
      </c>
    </row>
    <row r="242" spans="1:8" x14ac:dyDescent="0.25">
      <c r="A242" s="3" t="s">
        <v>218</v>
      </c>
      <c r="B242" s="10">
        <v>47468</v>
      </c>
      <c r="C242" s="23">
        <f t="shared" si="18"/>
        <v>3.5358204052323705E-2</v>
      </c>
      <c r="E242" s="37">
        <v>4.28</v>
      </c>
      <c r="F242" s="13">
        <v>17.149999999999999</v>
      </c>
      <c r="G242" s="13">
        <f t="shared" si="19"/>
        <v>4.0070093457943923</v>
      </c>
      <c r="H242" s="13">
        <f t="shared" si="20"/>
        <v>0.14168065408816624</v>
      </c>
    </row>
    <row r="243" spans="1:8" x14ac:dyDescent="0.25">
      <c r="A243" s="3" t="s">
        <v>219</v>
      </c>
      <c r="B243" s="10">
        <v>12141</v>
      </c>
      <c r="C243" s="23">
        <f t="shared" si="18"/>
        <v>9.043649519660869E-3</v>
      </c>
      <c r="E243" s="37">
        <v>22.34</v>
      </c>
      <c r="F243" s="13">
        <v>41.12</v>
      </c>
      <c r="G243" s="13">
        <f t="shared" si="19"/>
        <v>1.8406445837063563</v>
      </c>
      <c r="H243" s="13">
        <f t="shared" si="20"/>
        <v>1.6646144505302371E-2</v>
      </c>
    </row>
    <row r="244" spans="1:8" x14ac:dyDescent="0.25">
      <c r="A244" s="3" t="s">
        <v>220</v>
      </c>
      <c r="B244" s="10">
        <v>25259</v>
      </c>
      <c r="C244" s="23">
        <f t="shared" si="18"/>
        <v>1.8815051743440728E-2</v>
      </c>
      <c r="E244" s="37">
        <v>2.73</v>
      </c>
      <c r="F244" s="13">
        <v>12.03</v>
      </c>
      <c r="G244" s="13">
        <f t="shared" si="19"/>
        <v>4.406593406593406</v>
      </c>
      <c r="H244" s="13">
        <f t="shared" si="20"/>
        <v>8.2910282957359679E-2</v>
      </c>
    </row>
    <row r="245" spans="1:8" x14ac:dyDescent="0.25">
      <c r="A245" s="3" t="s">
        <v>221</v>
      </c>
      <c r="B245" s="10">
        <v>10402</v>
      </c>
      <c r="C245" s="23">
        <f t="shared" si="18"/>
        <v>7.7482943994326954E-3</v>
      </c>
      <c r="E245" s="37">
        <v>7.66</v>
      </c>
      <c r="F245" s="13">
        <v>22.06</v>
      </c>
      <c r="G245" s="13">
        <f t="shared" si="19"/>
        <v>2.879895561357702</v>
      </c>
      <c r="H245" s="13">
        <f t="shared" si="20"/>
        <v>2.231427864901896E-2</v>
      </c>
    </row>
    <row r="246" spans="1:8" x14ac:dyDescent="0.25">
      <c r="A246" s="3" t="s">
        <v>222</v>
      </c>
      <c r="B246" s="10">
        <v>19901</v>
      </c>
      <c r="C246" s="23">
        <f t="shared" si="18"/>
        <v>1.4823957589224194E-2</v>
      </c>
      <c r="E246" s="37">
        <v>14.84</v>
      </c>
      <c r="F246" s="13">
        <v>33.119999999999997</v>
      </c>
      <c r="G246" s="13">
        <f t="shared" si="19"/>
        <v>2.2318059299191373</v>
      </c>
      <c r="H246" s="13">
        <f t="shared" si="20"/>
        <v>3.3084196452500353E-2</v>
      </c>
    </row>
    <row r="247" spans="1:8" x14ac:dyDescent="0.25">
      <c r="A247" s="3" t="s">
        <v>223</v>
      </c>
      <c r="B247" s="10">
        <v>13253</v>
      </c>
      <c r="C247" s="23">
        <f t="shared" si="18"/>
        <v>9.8719617069488088E-3</v>
      </c>
      <c r="E247" s="37">
        <v>8.36</v>
      </c>
      <c r="F247" s="13">
        <v>27.02</v>
      </c>
      <c r="G247" s="13">
        <f t="shared" si="19"/>
        <v>3.232057416267943</v>
      </c>
      <c r="H247" s="13">
        <f t="shared" si="20"/>
        <v>3.1906747048057037E-2</v>
      </c>
    </row>
    <row r="248" spans="1:8" x14ac:dyDescent="0.25">
      <c r="A248" s="3" t="s">
        <v>224</v>
      </c>
      <c r="B248" s="10">
        <v>10840</v>
      </c>
      <c r="C248" s="23">
        <f t="shared" si="18"/>
        <v>8.074554055936399E-3</v>
      </c>
      <c r="E248" s="37">
        <v>10.18</v>
      </c>
      <c r="F248" s="13">
        <v>32.43</v>
      </c>
      <c r="G248" s="13">
        <f t="shared" si="19"/>
        <v>3.1856581532416501</v>
      </c>
      <c r="H248" s="13">
        <f t="shared" si="20"/>
        <v>2.5722768962084225E-2</v>
      </c>
    </row>
    <row r="249" spans="1:8" x14ac:dyDescent="0.25">
      <c r="A249" s="3" t="s">
        <v>225</v>
      </c>
      <c r="B249" s="10">
        <v>20895</v>
      </c>
      <c r="C249" s="23">
        <f t="shared" si="18"/>
        <v>1.5564373339371869E-2</v>
      </c>
      <c r="E249" s="37">
        <v>12.03</v>
      </c>
      <c r="F249" s="13">
        <v>27.61</v>
      </c>
      <c r="G249" s="13">
        <f t="shared" si="19"/>
        <v>2.2950955943474649</v>
      </c>
      <c r="H249" s="13">
        <f t="shared" si="20"/>
        <v>3.5721724679971513E-2</v>
      </c>
    </row>
    <row r="250" spans="1:8" x14ac:dyDescent="0.25">
      <c r="A250" s="3" t="s">
        <v>226</v>
      </c>
      <c r="B250" s="10">
        <v>40245</v>
      </c>
      <c r="C250" s="23">
        <f t="shared" si="18"/>
        <v>2.9977899260254647E-2</v>
      </c>
      <c r="E250" s="37">
        <v>3.91</v>
      </c>
      <c r="F250" s="13">
        <v>15.94</v>
      </c>
      <c r="G250" s="13">
        <f t="shared" si="19"/>
        <v>4.0767263427109972</v>
      </c>
      <c r="H250" s="13">
        <f t="shared" si="20"/>
        <v>0.12221169161341663</v>
      </c>
    </row>
    <row r="251" spans="1:8" x14ac:dyDescent="0.25">
      <c r="A251" s="3" t="s">
        <v>227</v>
      </c>
      <c r="B251" s="10">
        <v>71930</v>
      </c>
      <c r="C251" s="23">
        <f t="shared" si="18"/>
        <v>5.3579582402537379E-2</v>
      </c>
      <c r="E251" s="37">
        <v>3.71</v>
      </c>
      <c r="F251" s="13">
        <v>12.31</v>
      </c>
      <c r="G251" s="13">
        <f t="shared" si="19"/>
        <v>3.3180592991913747</v>
      </c>
      <c r="H251" s="13">
        <f t="shared" si="20"/>
        <v>0.17778023163752968</v>
      </c>
    </row>
    <row r="252" spans="1:8" x14ac:dyDescent="0.25">
      <c r="A252" s="3" t="s">
        <v>228</v>
      </c>
      <c r="B252" s="10">
        <v>43489</v>
      </c>
      <c r="C252" s="23">
        <f t="shared" si="18"/>
        <v>3.2394306396551477E-2</v>
      </c>
      <c r="E252" s="37">
        <v>4.1900000000000004</v>
      </c>
      <c r="F252" s="13">
        <v>14.35</v>
      </c>
      <c r="G252" s="13">
        <f t="shared" si="19"/>
        <v>3.4248210023866346</v>
      </c>
      <c r="H252" s="13">
        <f t="shared" si="20"/>
        <v>0.1109447009046572</v>
      </c>
    </row>
    <row r="253" spans="1:8" x14ac:dyDescent="0.25">
      <c r="A253" s="3" t="s">
        <v>229</v>
      </c>
      <c r="B253" s="10">
        <v>17361</v>
      </c>
      <c r="C253" s="23">
        <f t="shared" si="18"/>
        <v>1.2931949535526921E-2</v>
      </c>
      <c r="E253" s="37">
        <v>9.56</v>
      </c>
      <c r="F253" s="13">
        <v>24.9</v>
      </c>
      <c r="G253" s="13">
        <f>F253/E253</f>
        <v>2.6046025104602508</v>
      </c>
      <c r="H253" s="13">
        <f>G253*C253</f>
        <v>3.3682588225378694E-2</v>
      </c>
    </row>
    <row r="254" spans="1:8" x14ac:dyDescent="0.25">
      <c r="A254" s="3" t="s">
        <v>230</v>
      </c>
      <c r="B254" s="10">
        <v>49824</v>
      </c>
      <c r="C254" s="23">
        <f t="shared" si="18"/>
        <v>3.7113153254887003E-2</v>
      </c>
      <c r="E254" s="37">
        <v>3.13</v>
      </c>
      <c r="F254" s="13">
        <v>12.75</v>
      </c>
      <c r="G254" s="13">
        <f t="shared" ref="G254:G266" si="21">F254/E254</f>
        <v>4.0734824281150157</v>
      </c>
      <c r="H254" s="13">
        <f t="shared" ref="H254:H266" si="22">G254*C254</f>
        <v>0.1511797776357218</v>
      </c>
    </row>
    <row r="255" spans="1:8" x14ac:dyDescent="0.25">
      <c r="A255" s="3" t="s">
        <v>231</v>
      </c>
      <c r="B255" s="10">
        <v>8830</v>
      </c>
      <c r="C255" s="23">
        <f t="shared" si="18"/>
        <v>6.5773350843098153E-3</v>
      </c>
      <c r="E255" s="37">
        <v>10.11</v>
      </c>
      <c r="F255" s="13">
        <v>23.14</v>
      </c>
      <c r="G255" s="13">
        <f t="shared" si="21"/>
        <v>2.2888229475766568</v>
      </c>
      <c r="H255" s="13">
        <f t="shared" si="22"/>
        <v>1.5054355474869351E-2</v>
      </c>
    </row>
    <row r="256" spans="1:8" x14ac:dyDescent="0.25">
      <c r="A256" s="3" t="s">
        <v>232</v>
      </c>
      <c r="B256" s="10">
        <v>8317</v>
      </c>
      <c r="C256" s="23">
        <f t="shared" si="18"/>
        <v>6.1952090482678074E-3</v>
      </c>
      <c r="E256" s="37">
        <v>9.27</v>
      </c>
      <c r="F256" s="13">
        <v>23.24</v>
      </c>
      <c r="G256" s="13">
        <f t="shared" si="21"/>
        <v>2.507011866235167</v>
      </c>
      <c r="H256" s="13">
        <f t="shared" si="22"/>
        <v>1.5531462597814868E-2</v>
      </c>
    </row>
    <row r="257" spans="1:8" x14ac:dyDescent="0.25">
      <c r="A257" s="3" t="s">
        <v>233</v>
      </c>
      <c r="B257" s="10">
        <v>11208</v>
      </c>
      <c r="C257" s="23">
        <f t="shared" si="18"/>
        <v>8.3486717582043502E-3</v>
      </c>
      <c r="E257" s="37">
        <v>11.98</v>
      </c>
      <c r="F257" s="13">
        <v>30.06</v>
      </c>
      <c r="G257" s="13">
        <f t="shared" si="21"/>
        <v>2.5091819699499163</v>
      </c>
      <c r="H257" s="13">
        <f t="shared" si="22"/>
        <v>2.0948336648716422E-2</v>
      </c>
    </row>
    <row r="258" spans="1:8" x14ac:dyDescent="0.25">
      <c r="A258" s="3" t="s">
        <v>234</v>
      </c>
      <c r="B258" s="10">
        <v>7564</v>
      </c>
      <c r="C258" s="23">
        <f t="shared" si="18"/>
        <v>5.6343105977032211E-3</v>
      </c>
      <c r="E258" s="37">
        <v>9.3699999999999992</v>
      </c>
      <c r="F258" s="13">
        <v>23.61</v>
      </c>
      <c r="G258" s="13">
        <f t="shared" si="21"/>
        <v>2.5197438633938103</v>
      </c>
      <c r="H258" s="13">
        <f t="shared" si="22"/>
        <v>1.4197019553017403E-2</v>
      </c>
    </row>
    <row r="259" spans="1:8" x14ac:dyDescent="0.25">
      <c r="A259" s="3" t="s">
        <v>235</v>
      </c>
      <c r="B259" s="10">
        <v>11832</v>
      </c>
      <c r="C259" s="23">
        <f t="shared" si="18"/>
        <v>8.8134800359630505E-3</v>
      </c>
      <c r="E259" s="37">
        <v>10.95</v>
      </c>
      <c r="F259" s="13">
        <v>27.7</v>
      </c>
      <c r="G259" s="13">
        <f t="shared" si="21"/>
        <v>2.5296803652968038</v>
      </c>
      <c r="H259" s="13">
        <f t="shared" si="22"/>
        <v>2.2295287396911098E-2</v>
      </c>
    </row>
    <row r="260" spans="1:8" x14ac:dyDescent="0.25">
      <c r="A260" s="3" t="s">
        <v>236</v>
      </c>
      <c r="B260" s="10">
        <v>15336</v>
      </c>
      <c r="C260" s="23">
        <f t="shared" si="18"/>
        <v>1.1423557287992676E-2</v>
      </c>
      <c r="E260" s="37">
        <v>16.34</v>
      </c>
      <c r="F260" s="13">
        <v>34.29</v>
      </c>
      <c r="G260" s="13">
        <f t="shared" si="21"/>
        <v>2.0985312117503061</v>
      </c>
      <c r="H260" s="13">
        <f t="shared" si="22"/>
        <v>2.397269151807031E-2</v>
      </c>
    </row>
    <row r="261" spans="1:8" x14ac:dyDescent="0.25">
      <c r="A261" s="3" t="s">
        <v>237</v>
      </c>
      <c r="B261" s="10">
        <v>19595</v>
      </c>
      <c r="C261" s="23">
        <f t="shared" si="18"/>
        <v>1.4596022760707908E-2</v>
      </c>
      <c r="E261" s="37">
        <v>7.33</v>
      </c>
      <c r="F261" s="13">
        <v>27.43</v>
      </c>
      <c r="G261" s="13">
        <f t="shared" si="21"/>
        <v>3.7421555252387448</v>
      </c>
      <c r="H261" s="13">
        <f t="shared" si="22"/>
        <v>5.462058722049358E-2</v>
      </c>
    </row>
    <row r="262" spans="1:8" x14ac:dyDescent="0.25">
      <c r="A262" s="3" t="s">
        <v>238</v>
      </c>
      <c r="B262" s="10">
        <v>6651</v>
      </c>
      <c r="C262" s="23">
        <f t="shared" si="18"/>
        <v>4.954230537456918E-3</v>
      </c>
      <c r="E262" s="37">
        <v>18.010000000000002</v>
      </c>
      <c r="F262" s="13">
        <v>29.63</v>
      </c>
      <c r="G262" s="13">
        <f t="shared" si="21"/>
        <v>1.6451971127151581</v>
      </c>
      <c r="H262" s="13">
        <f t="shared" si="22"/>
        <v>8.1506857759493876E-3</v>
      </c>
    </row>
    <row r="263" spans="1:8" x14ac:dyDescent="0.25">
      <c r="A263" s="3" t="s">
        <v>239</v>
      </c>
      <c r="B263" s="10">
        <v>20807</v>
      </c>
      <c r="C263" s="23">
        <f t="shared" si="18"/>
        <v>1.5498823454046923E-2</v>
      </c>
      <c r="E263" s="37">
        <v>2.14</v>
      </c>
      <c r="F263" s="13">
        <v>12.12</v>
      </c>
      <c r="G263" s="13">
        <f t="shared" si="21"/>
        <v>5.6635514018691584</v>
      </c>
      <c r="H263" s="13">
        <f t="shared" si="22"/>
        <v>8.7778383300490051E-2</v>
      </c>
    </row>
    <row r="264" spans="1:8" x14ac:dyDescent="0.25">
      <c r="A264" s="3" t="s">
        <v>240</v>
      </c>
      <c r="B264" s="10">
        <v>9616</v>
      </c>
      <c r="C264" s="23">
        <f t="shared" si="18"/>
        <v>7.1628147418712554E-3</v>
      </c>
      <c r="E264" s="37">
        <v>8.08</v>
      </c>
      <c r="F264" s="13">
        <v>18.79</v>
      </c>
      <c r="G264" s="13">
        <f t="shared" si="21"/>
        <v>2.3254950495049505</v>
      </c>
      <c r="H264" s="13">
        <f t="shared" si="22"/>
        <v>1.6657090222742685E-2</v>
      </c>
    </row>
    <row r="265" spans="1:8" x14ac:dyDescent="0.25">
      <c r="A265" s="3" t="s">
        <v>241</v>
      </c>
      <c r="B265" s="10">
        <v>13304</v>
      </c>
      <c r="C265" s="23">
        <f t="shared" si="18"/>
        <v>9.909950845034857E-3</v>
      </c>
      <c r="E265" s="37">
        <v>11</v>
      </c>
      <c r="F265" s="13">
        <v>23.22</v>
      </c>
      <c r="G265" s="13">
        <f t="shared" si="21"/>
        <v>2.1109090909090908</v>
      </c>
      <c r="H265" s="13">
        <f t="shared" si="22"/>
        <v>2.0919005329246308E-2</v>
      </c>
    </row>
    <row r="266" spans="1:8" x14ac:dyDescent="0.25">
      <c r="A266" s="3" t="s">
        <v>242</v>
      </c>
      <c r="B266" s="10">
        <v>23161</v>
      </c>
      <c r="C266" s="23">
        <f t="shared" si="18"/>
        <v>1.7252282886489199E-2</v>
      </c>
      <c r="E266" s="37">
        <v>3.16</v>
      </c>
      <c r="F266" s="13">
        <v>12.96</v>
      </c>
      <c r="G266" s="13">
        <f t="shared" si="21"/>
        <v>4.1012658227848098</v>
      </c>
      <c r="H266" s="13">
        <f t="shared" si="22"/>
        <v>7.0756198167373413E-2</v>
      </c>
    </row>
    <row r="267" spans="1:8" x14ac:dyDescent="0.25">
      <c r="A267" s="20" t="s">
        <v>0</v>
      </c>
      <c r="B267" s="21">
        <f>SUM(B201:B266)</f>
        <v>1342489</v>
      </c>
      <c r="C267" s="22">
        <f>B267/B$267</f>
        <v>1</v>
      </c>
      <c r="D267" s="18"/>
      <c r="E267" s="18"/>
      <c r="F267" s="18"/>
      <c r="G267" s="39"/>
      <c r="H267" s="19">
        <f>SUM(H201:H266)</f>
        <v>3.38037175372668</v>
      </c>
    </row>
    <row r="268" spans="1:8" x14ac:dyDescent="0.25">
      <c r="B268" s="10"/>
      <c r="C268" s="23"/>
      <c r="E268" s="37"/>
      <c r="F268" s="13"/>
      <c r="G268" s="13"/>
      <c r="H268" s="13"/>
    </row>
    <row r="269" spans="1:8" x14ac:dyDescent="0.25">
      <c r="A269" s="17" t="s">
        <v>243</v>
      </c>
      <c r="B269" s="10">
        <f>B267</f>
        <v>1342489</v>
      </c>
      <c r="C269" s="23">
        <f t="shared" ref="C269:C306" si="23">B269/B$306</f>
        <v>0.58139813864456258</v>
      </c>
      <c r="E269" s="37"/>
      <c r="F269" s="13"/>
      <c r="G269" s="13">
        <f>H267</f>
        <v>3.38037175372668</v>
      </c>
      <c r="H269" s="13">
        <f>G269*C269</f>
        <v>1.9653418455433473</v>
      </c>
    </row>
    <row r="270" spans="1:8" x14ac:dyDescent="0.25">
      <c r="A270" s="3" t="s">
        <v>244</v>
      </c>
      <c r="B270" s="10">
        <v>49263</v>
      </c>
      <c r="C270" s="23">
        <f t="shared" si="23"/>
        <v>2.1334563265730359E-2</v>
      </c>
      <c r="E270" s="37">
        <v>3.48</v>
      </c>
      <c r="F270" s="13">
        <v>11.61</v>
      </c>
      <c r="G270" s="13">
        <f t="shared" ref="G270:G305" si="24">F270/E270</f>
        <v>3.3362068965517242</v>
      </c>
      <c r="H270" s="13">
        <f t="shared" ref="H270:H305" si="25">G270*C270</f>
        <v>7.1176517102048698E-2</v>
      </c>
    </row>
    <row r="271" spans="1:8" x14ac:dyDescent="0.25">
      <c r="A271" s="3" t="s">
        <v>245</v>
      </c>
      <c r="B271" s="10">
        <v>18438</v>
      </c>
      <c r="C271" s="23">
        <f t="shared" si="23"/>
        <v>7.9850329353376038E-3</v>
      </c>
      <c r="E271" s="37">
        <v>8.73</v>
      </c>
      <c r="F271" s="13">
        <v>27.93</v>
      </c>
      <c r="G271" s="13">
        <f t="shared" si="24"/>
        <v>3.199312714776632</v>
      </c>
      <c r="H271" s="13">
        <f t="shared" si="25"/>
        <v>2.5546617397935768E-2</v>
      </c>
    </row>
    <row r="272" spans="1:8" x14ac:dyDescent="0.25">
      <c r="A272" s="3" t="s">
        <v>246</v>
      </c>
      <c r="B272" s="10">
        <v>20548</v>
      </c>
      <c r="C272" s="23">
        <f t="shared" si="23"/>
        <v>8.8988207373531334E-3</v>
      </c>
      <c r="E272" s="37">
        <v>7.15</v>
      </c>
      <c r="F272" s="13">
        <v>26.74</v>
      </c>
      <c r="G272" s="13">
        <f t="shared" si="24"/>
        <v>3.7398601398601397</v>
      </c>
      <c r="H272" s="13">
        <f t="shared" si="25"/>
        <v>3.3280344967387798E-2</v>
      </c>
    </row>
    <row r="273" spans="1:8" x14ac:dyDescent="0.25">
      <c r="A273" s="3" t="s">
        <v>247</v>
      </c>
      <c r="B273" s="10">
        <v>17298</v>
      </c>
      <c r="C273" s="23">
        <f t="shared" si="23"/>
        <v>7.4913276773766061E-3</v>
      </c>
      <c r="E273" s="37">
        <v>8.06</v>
      </c>
      <c r="F273" s="13">
        <v>25.6</v>
      </c>
      <c r="G273" s="13">
        <f t="shared" si="24"/>
        <v>3.1761786600496276</v>
      </c>
      <c r="H273" s="13">
        <f t="shared" si="25"/>
        <v>2.3793795104322717E-2</v>
      </c>
    </row>
    <row r="274" spans="1:8" x14ac:dyDescent="0.25">
      <c r="A274" s="3" t="s">
        <v>248</v>
      </c>
      <c r="B274" s="10">
        <v>43058</v>
      </c>
      <c r="C274" s="23">
        <f t="shared" si="23"/>
        <v>1.8647334208144406E-2</v>
      </c>
      <c r="E274" s="37">
        <v>4.84</v>
      </c>
      <c r="F274" s="13">
        <v>12.34</v>
      </c>
      <c r="G274" s="13">
        <f t="shared" si="24"/>
        <v>2.549586776859504</v>
      </c>
      <c r="H274" s="13">
        <f t="shared" si="25"/>
        <v>4.7542996720764868E-2</v>
      </c>
    </row>
    <row r="275" spans="1:8" x14ac:dyDescent="0.25">
      <c r="A275" s="3" t="s">
        <v>249</v>
      </c>
      <c r="B275" s="10">
        <v>86868</v>
      </c>
      <c r="C275" s="23">
        <f t="shared" si="23"/>
        <v>3.762034065662799E-2</v>
      </c>
      <c r="E275" s="37">
        <v>3.89</v>
      </c>
      <c r="F275" s="13">
        <v>18.04</v>
      </c>
      <c r="G275" s="13">
        <f t="shared" si="24"/>
        <v>4.6375321336760917</v>
      </c>
      <c r="H275" s="13">
        <f t="shared" si="25"/>
        <v>0.17446553867495343</v>
      </c>
    </row>
    <row r="276" spans="1:8" x14ac:dyDescent="0.25">
      <c r="A276" s="3" t="s">
        <v>250</v>
      </c>
      <c r="B276" s="10">
        <v>46658</v>
      </c>
      <c r="C276" s="23">
        <f t="shared" si="23"/>
        <v>2.0206403443810712E-2</v>
      </c>
      <c r="E276" s="37">
        <v>2.89</v>
      </c>
      <c r="F276" s="13">
        <v>12.23</v>
      </c>
      <c r="G276" s="13">
        <f t="shared" si="24"/>
        <v>4.2318339100346023</v>
      </c>
      <c r="H276" s="13">
        <f t="shared" si="25"/>
        <v>8.551014329335814E-2</v>
      </c>
    </row>
    <row r="277" spans="1:8" x14ac:dyDescent="0.25">
      <c r="A277" s="3" t="s">
        <v>251</v>
      </c>
      <c r="B277" s="10">
        <v>26163</v>
      </c>
      <c r="C277" s="23">
        <f t="shared" si="23"/>
        <v>1.1330535670204887E-2</v>
      </c>
      <c r="E277" s="37">
        <v>2.64</v>
      </c>
      <c r="F277" s="13">
        <v>12.26</v>
      </c>
      <c r="G277" s="13">
        <f t="shared" si="24"/>
        <v>4.6439393939393936</v>
      </c>
      <c r="H277" s="13">
        <f t="shared" si="25"/>
        <v>5.2618320953299963E-2</v>
      </c>
    </row>
    <row r="278" spans="1:8" x14ac:dyDescent="0.25">
      <c r="A278" s="3" t="s">
        <v>252</v>
      </c>
      <c r="B278" s="10">
        <v>60892</v>
      </c>
      <c r="C278" s="23">
        <f t="shared" si="23"/>
        <v>2.6370789971720217E-2</v>
      </c>
      <c r="E278" s="37">
        <v>4.8099999999999996</v>
      </c>
      <c r="F278" s="13">
        <v>12.79</v>
      </c>
      <c r="G278" s="13">
        <f t="shared" si="24"/>
        <v>2.6590436590436592</v>
      </c>
      <c r="H278" s="13">
        <f t="shared" si="25"/>
        <v>7.0121081858274759E-2</v>
      </c>
    </row>
    <row r="279" spans="1:8" x14ac:dyDescent="0.25">
      <c r="A279" s="3" t="s">
        <v>253</v>
      </c>
      <c r="B279" s="10">
        <v>29680</v>
      </c>
      <c r="C279" s="23">
        <f t="shared" si="23"/>
        <v>1.2853659698493333E-2</v>
      </c>
      <c r="E279" s="37">
        <v>2.56</v>
      </c>
      <c r="F279" s="13">
        <v>12.22</v>
      </c>
      <c r="G279" s="13">
        <f t="shared" si="24"/>
        <v>4.7734375</v>
      </c>
      <c r="H279" s="13">
        <f t="shared" si="25"/>
        <v>6.1356141217026768E-2</v>
      </c>
    </row>
    <row r="280" spans="1:8" x14ac:dyDescent="0.25">
      <c r="A280" s="3" t="s">
        <v>254</v>
      </c>
      <c r="B280" s="10">
        <v>10359</v>
      </c>
      <c r="C280" s="23">
        <f t="shared" si="23"/>
        <v>4.4862217256297987E-3</v>
      </c>
      <c r="E280" s="37">
        <v>14.04</v>
      </c>
      <c r="F280" s="13">
        <v>29.88</v>
      </c>
      <c r="G280" s="13">
        <f t="shared" si="24"/>
        <v>2.1282051282051282</v>
      </c>
      <c r="H280" s="13">
        <f t="shared" si="25"/>
        <v>9.5476000827505979E-3</v>
      </c>
    </row>
    <row r="281" spans="1:8" x14ac:dyDescent="0.25">
      <c r="A281" s="3" t="s">
        <v>255</v>
      </c>
      <c r="B281" s="10">
        <v>12451</v>
      </c>
      <c r="C281" s="23">
        <f t="shared" si="23"/>
        <v>5.3922141814669979E-3</v>
      </c>
      <c r="E281" s="37">
        <v>7.35</v>
      </c>
      <c r="F281" s="13">
        <v>19.39</v>
      </c>
      <c r="G281" s="13">
        <f t="shared" si="24"/>
        <v>2.6380952380952385</v>
      </c>
      <c r="H281" s="13">
        <f t="shared" si="25"/>
        <v>1.42251745549177E-2</v>
      </c>
    </row>
    <row r="282" spans="1:8" x14ac:dyDescent="0.25">
      <c r="A282" s="3" t="s">
        <v>256</v>
      </c>
      <c r="B282" s="10">
        <v>12326</v>
      </c>
      <c r="C282" s="23">
        <f t="shared" si="23"/>
        <v>5.3380798330063617E-3</v>
      </c>
      <c r="E282" s="37">
        <v>9.3699999999999992</v>
      </c>
      <c r="F282" s="13">
        <v>28.81</v>
      </c>
      <c r="G282" s="13">
        <f t="shared" si="24"/>
        <v>3.074706510138741</v>
      </c>
      <c r="H282" s="13">
        <f t="shared" si="25"/>
        <v>1.6413028814184983E-2</v>
      </c>
    </row>
    <row r="283" spans="1:8" x14ac:dyDescent="0.25">
      <c r="A283" s="3" t="s">
        <v>257</v>
      </c>
      <c r="B283" s="10">
        <v>16333</v>
      </c>
      <c r="C283" s="23">
        <f t="shared" si="23"/>
        <v>7.0734105072604988E-3</v>
      </c>
      <c r="E283" s="37">
        <v>9.33</v>
      </c>
      <c r="F283" s="13">
        <v>27.14</v>
      </c>
      <c r="G283" s="13">
        <f t="shared" si="24"/>
        <v>2.9088960342979635</v>
      </c>
      <c r="H283" s="13">
        <f t="shared" si="25"/>
        <v>2.0575815773531611E-2</v>
      </c>
    </row>
    <row r="284" spans="1:8" x14ac:dyDescent="0.25">
      <c r="A284" s="3" t="s">
        <v>258</v>
      </c>
      <c r="B284" s="10">
        <v>21685</v>
      </c>
      <c r="C284" s="23">
        <f t="shared" si="23"/>
        <v>9.3912267709510763E-3</v>
      </c>
      <c r="E284" s="37">
        <v>2.88</v>
      </c>
      <c r="F284" s="13">
        <v>11.14</v>
      </c>
      <c r="G284" s="13">
        <f t="shared" si="24"/>
        <v>3.8680555555555558</v>
      </c>
      <c r="H284" s="13">
        <f t="shared" si="25"/>
        <v>3.6325786884859372E-2</v>
      </c>
    </row>
    <row r="285" spans="1:8" x14ac:dyDescent="0.25">
      <c r="A285" s="3" t="s">
        <v>259</v>
      </c>
      <c r="B285" s="10">
        <v>11966</v>
      </c>
      <c r="C285" s="23">
        <f t="shared" si="23"/>
        <v>5.1821729094397315E-3</v>
      </c>
      <c r="E285" s="37">
        <v>11.91</v>
      </c>
      <c r="F285" s="13">
        <v>33.5</v>
      </c>
      <c r="G285" s="13">
        <f t="shared" si="24"/>
        <v>2.8127623845507976</v>
      </c>
      <c r="H285" s="13">
        <f t="shared" si="25"/>
        <v>1.4576221029910243E-2</v>
      </c>
    </row>
    <row r="286" spans="1:8" x14ac:dyDescent="0.25">
      <c r="A286" s="3" t="s">
        <v>260</v>
      </c>
      <c r="B286" s="10">
        <v>68890</v>
      </c>
      <c r="C286" s="23">
        <f t="shared" si="23"/>
        <v>2.9834522123625529E-2</v>
      </c>
      <c r="E286" s="37">
        <v>4.2699999999999996</v>
      </c>
      <c r="F286" s="13">
        <v>20.13</v>
      </c>
      <c r="G286" s="13">
        <f t="shared" si="24"/>
        <v>4.7142857142857144</v>
      </c>
      <c r="H286" s="13">
        <f t="shared" si="25"/>
        <v>0.14064846143994891</v>
      </c>
    </row>
    <row r="287" spans="1:8" x14ac:dyDescent="0.25">
      <c r="A287" s="3" t="s">
        <v>261</v>
      </c>
      <c r="B287" s="10">
        <v>11869</v>
      </c>
      <c r="C287" s="23">
        <f t="shared" si="23"/>
        <v>5.1401646550342777E-3</v>
      </c>
      <c r="E287" s="37">
        <v>11.73</v>
      </c>
      <c r="F287" s="13">
        <v>25.23</v>
      </c>
      <c r="G287" s="13">
        <f t="shared" si="24"/>
        <v>2.1508951406649617</v>
      </c>
      <c r="H287" s="13">
        <f t="shared" si="25"/>
        <v>1.1055955178731017E-2</v>
      </c>
    </row>
    <row r="288" spans="1:8" x14ac:dyDescent="0.25">
      <c r="A288" s="3" t="s">
        <v>262</v>
      </c>
      <c r="B288" s="10">
        <v>10957</v>
      </c>
      <c r="C288" s="23">
        <f t="shared" si="23"/>
        <v>4.7452004486654804E-3</v>
      </c>
      <c r="E288" s="37">
        <v>11.83</v>
      </c>
      <c r="F288" s="13">
        <v>28.75</v>
      </c>
      <c r="G288" s="13">
        <f t="shared" si="24"/>
        <v>2.430262045646661</v>
      </c>
      <c r="H288" s="13">
        <f t="shared" si="25"/>
        <v>1.1532080549377224E-2</v>
      </c>
    </row>
    <row r="289" spans="1:8" x14ac:dyDescent="0.25">
      <c r="A289" s="3" t="s">
        <v>263</v>
      </c>
      <c r="B289" s="10">
        <v>48607</v>
      </c>
      <c r="C289" s="23">
        <f t="shared" si="23"/>
        <v>2.1050466205008944E-2</v>
      </c>
      <c r="E289" s="37">
        <v>3.27</v>
      </c>
      <c r="F289" s="13">
        <v>11.48</v>
      </c>
      <c r="G289" s="13">
        <f t="shared" si="24"/>
        <v>3.5107033639143732</v>
      </c>
      <c r="H289" s="13">
        <f t="shared" si="25"/>
        <v>7.3901942517890729E-2</v>
      </c>
    </row>
    <row r="290" spans="1:8" x14ac:dyDescent="0.25">
      <c r="A290" s="3" t="s">
        <v>264</v>
      </c>
      <c r="B290" s="10">
        <v>24647</v>
      </c>
      <c r="C290" s="23">
        <f t="shared" si="23"/>
        <v>1.0673994292074298E-2</v>
      </c>
      <c r="E290" s="37">
        <v>6.63</v>
      </c>
      <c r="F290" s="13">
        <v>13.99</v>
      </c>
      <c r="G290" s="13">
        <f t="shared" si="24"/>
        <v>2.110105580693816</v>
      </c>
      <c r="H290" s="13">
        <f t="shared" si="25"/>
        <v>2.2523254923999914E-2</v>
      </c>
    </row>
    <row r="291" spans="1:8" x14ac:dyDescent="0.25">
      <c r="A291" s="3" t="s">
        <v>265</v>
      </c>
      <c r="B291" s="10">
        <v>11966</v>
      </c>
      <c r="C291" s="23">
        <f t="shared" si="23"/>
        <v>5.1821729094397315E-3</v>
      </c>
      <c r="E291" s="37">
        <v>9.66</v>
      </c>
      <c r="F291" s="13">
        <v>29.58</v>
      </c>
      <c r="G291" s="13">
        <f t="shared" si="24"/>
        <v>3.0621118012422359</v>
      </c>
      <c r="H291" s="13">
        <f t="shared" si="25"/>
        <v>1.5868392822073214E-2</v>
      </c>
    </row>
    <row r="292" spans="1:8" x14ac:dyDescent="0.25">
      <c r="A292" s="3" t="s">
        <v>266</v>
      </c>
      <c r="B292" s="10">
        <v>31045</v>
      </c>
      <c r="C292" s="23">
        <f t="shared" si="23"/>
        <v>1.3444806783683474E-2</v>
      </c>
      <c r="E292" s="37">
        <v>2.86</v>
      </c>
      <c r="F292" s="13">
        <v>8.98</v>
      </c>
      <c r="G292" s="13">
        <f t="shared" si="24"/>
        <v>3.13986013986014</v>
      </c>
      <c r="H292" s="13">
        <f t="shared" si="25"/>
        <v>4.221481290820895E-2</v>
      </c>
    </row>
    <row r="293" spans="1:8" x14ac:dyDescent="0.25">
      <c r="A293" s="3" t="s">
        <v>267</v>
      </c>
      <c r="B293" s="10">
        <v>12967</v>
      </c>
      <c r="C293" s="23">
        <f t="shared" si="23"/>
        <v>5.6156807719125014E-3</v>
      </c>
      <c r="E293" s="37">
        <v>9.0299999999999994</v>
      </c>
      <c r="F293" s="13">
        <v>27.09</v>
      </c>
      <c r="G293" s="13">
        <f t="shared" si="24"/>
        <v>3</v>
      </c>
      <c r="H293" s="13">
        <f t="shared" si="25"/>
        <v>1.6847042315737505E-2</v>
      </c>
    </row>
    <row r="294" spans="1:8" x14ac:dyDescent="0.25">
      <c r="A294" s="3" t="s">
        <v>268</v>
      </c>
      <c r="B294" s="10">
        <v>74323</v>
      </c>
      <c r="C294" s="23">
        <f t="shared" si="23"/>
        <v>3.2187417445118598E-2</v>
      </c>
      <c r="E294" s="37">
        <v>7.89</v>
      </c>
      <c r="F294" s="13">
        <v>24.51</v>
      </c>
      <c r="G294" s="13">
        <f t="shared" si="24"/>
        <v>3.1064638783269967</v>
      </c>
      <c r="H294" s="13">
        <f t="shared" si="25"/>
        <v>9.9989049629893148E-2</v>
      </c>
    </row>
    <row r="295" spans="1:8" x14ac:dyDescent="0.25">
      <c r="A295" s="3" t="s">
        <v>269</v>
      </c>
      <c r="B295" s="10">
        <v>10695</v>
      </c>
      <c r="C295" s="23">
        <f t="shared" si="23"/>
        <v>4.631734854291988E-3</v>
      </c>
      <c r="E295" s="37">
        <v>9.7100000000000009</v>
      </c>
      <c r="F295" s="13">
        <v>21.37</v>
      </c>
      <c r="G295" s="13">
        <f t="shared" si="24"/>
        <v>2.2008238928939239</v>
      </c>
      <c r="H295" s="13">
        <f t="shared" si="25"/>
        <v>1.0193632732875364E-2</v>
      </c>
    </row>
    <row r="296" spans="1:8" x14ac:dyDescent="0.25">
      <c r="A296" s="3" t="s">
        <v>270</v>
      </c>
      <c r="B296" s="10">
        <v>25511</v>
      </c>
      <c r="C296" s="23">
        <f t="shared" si="23"/>
        <v>1.1048170908634213E-2</v>
      </c>
      <c r="E296" s="37">
        <v>4.93</v>
      </c>
      <c r="F296" s="13">
        <v>14.64</v>
      </c>
      <c r="G296" s="13">
        <f t="shared" si="24"/>
        <v>2.9695740365111565</v>
      </c>
      <c r="H296" s="13">
        <f t="shared" si="25"/>
        <v>3.2808361481218032E-2</v>
      </c>
    </row>
    <row r="297" spans="1:8" x14ac:dyDescent="0.25">
      <c r="A297" s="3" t="s">
        <v>271</v>
      </c>
      <c r="B297" s="10">
        <v>8920</v>
      </c>
      <c r="C297" s="23">
        <f t="shared" si="23"/>
        <v>3.8630271061509611E-3</v>
      </c>
      <c r="E297" s="37">
        <v>15.15</v>
      </c>
      <c r="F297" s="13">
        <v>34.299999999999997</v>
      </c>
      <c r="G297" s="13">
        <f t="shared" si="24"/>
        <v>2.2640264026402637</v>
      </c>
      <c r="H297" s="13">
        <f t="shared" si="25"/>
        <v>8.7459953624407887E-3</v>
      </c>
    </row>
    <row r="298" spans="1:8" x14ac:dyDescent="0.25">
      <c r="A298" s="3" t="s">
        <v>272</v>
      </c>
      <c r="B298" s="10">
        <v>4537</v>
      </c>
      <c r="C298" s="23">
        <f t="shared" si="23"/>
        <v>1.9648603117272323E-3</v>
      </c>
      <c r="E298" s="37">
        <v>13.32</v>
      </c>
      <c r="F298" s="13">
        <v>29.32</v>
      </c>
      <c r="G298" s="13">
        <f t="shared" si="24"/>
        <v>2.2012012012012012</v>
      </c>
      <c r="H298" s="13">
        <f t="shared" si="25"/>
        <v>4.3250528783665507E-3</v>
      </c>
    </row>
    <row r="299" spans="1:8" x14ac:dyDescent="0.25">
      <c r="A299" s="3" t="s">
        <v>273</v>
      </c>
      <c r="B299" s="10">
        <v>19736</v>
      </c>
      <c r="C299" s="23">
        <f t="shared" si="23"/>
        <v>8.5471640097528438E-3</v>
      </c>
      <c r="E299" s="37">
        <v>5.21</v>
      </c>
      <c r="F299" s="13">
        <v>13.42</v>
      </c>
      <c r="G299" s="13">
        <f t="shared" si="24"/>
        <v>2.5758157389635317</v>
      </c>
      <c r="H299" s="13">
        <f t="shared" si="25"/>
        <v>2.2015919579824024E-2</v>
      </c>
    </row>
    <row r="300" spans="1:8" x14ac:dyDescent="0.25">
      <c r="A300" s="3" t="s">
        <v>274</v>
      </c>
      <c r="B300" s="10">
        <v>8101</v>
      </c>
      <c r="C300" s="23">
        <f t="shared" si="23"/>
        <v>3.5083388550368761E-3</v>
      </c>
      <c r="E300" s="37">
        <v>15.76</v>
      </c>
      <c r="F300" s="13">
        <v>33.42</v>
      </c>
      <c r="G300" s="13">
        <f t="shared" si="24"/>
        <v>2.1205583756345181</v>
      </c>
      <c r="H300" s="13">
        <f t="shared" si="25"/>
        <v>7.4396373436124629E-3</v>
      </c>
    </row>
    <row r="301" spans="1:8" x14ac:dyDescent="0.25">
      <c r="A301" s="3" t="s">
        <v>275</v>
      </c>
      <c r="B301" s="10">
        <v>30025</v>
      </c>
      <c r="C301" s="23">
        <f t="shared" si="23"/>
        <v>1.3003070500244688E-2</v>
      </c>
      <c r="E301" s="37">
        <v>4.93</v>
      </c>
      <c r="F301" s="13">
        <v>14.24</v>
      </c>
      <c r="G301" s="13">
        <f t="shared" si="24"/>
        <v>2.8884381338742395</v>
      </c>
      <c r="H301" s="13">
        <f t="shared" si="25"/>
        <v>3.7558564690361944E-2</v>
      </c>
    </row>
    <row r="302" spans="1:8" x14ac:dyDescent="0.25">
      <c r="A302" s="3" t="s">
        <v>276</v>
      </c>
      <c r="B302" s="10">
        <v>14509</v>
      </c>
      <c r="C302" s="23">
        <f t="shared" si="23"/>
        <v>6.2834820945229033E-3</v>
      </c>
      <c r="E302" s="37">
        <v>11.24</v>
      </c>
      <c r="F302" s="13">
        <v>26.18</v>
      </c>
      <c r="G302" s="13">
        <f t="shared" si="24"/>
        <v>2.3291814946619218</v>
      </c>
      <c r="H302" s="13">
        <f t="shared" si="25"/>
        <v>1.4635370216602279E-2</v>
      </c>
    </row>
    <row r="303" spans="1:8" x14ac:dyDescent="0.25">
      <c r="A303" s="3" t="s">
        <v>277</v>
      </c>
      <c r="B303" s="10">
        <v>24878</v>
      </c>
      <c r="C303" s="23">
        <f t="shared" si="23"/>
        <v>1.0774034568029552E-2</v>
      </c>
      <c r="E303" s="37">
        <v>7.14</v>
      </c>
      <c r="F303" s="13">
        <v>19.32</v>
      </c>
      <c r="G303" s="13">
        <f t="shared" si="24"/>
        <v>2.7058823529411766</v>
      </c>
      <c r="H303" s="13">
        <f t="shared" si="25"/>
        <v>2.9153270007609377E-2</v>
      </c>
    </row>
    <row r="304" spans="1:8" x14ac:dyDescent="0.25">
      <c r="A304" s="3" t="s">
        <v>278</v>
      </c>
      <c r="B304" s="10">
        <v>27741</v>
      </c>
      <c r="C304" s="23">
        <f t="shared" si="23"/>
        <v>1.2013927685171953E-2</v>
      </c>
      <c r="E304" s="37">
        <v>5.05</v>
      </c>
      <c r="F304" s="13">
        <v>14.83</v>
      </c>
      <c r="G304" s="13">
        <f t="shared" si="24"/>
        <v>2.9366336633663366</v>
      </c>
      <c r="H304" s="13">
        <f t="shared" si="25"/>
        <v>3.5280504469524764E-2</v>
      </c>
    </row>
    <row r="305" spans="1:8" x14ac:dyDescent="0.25">
      <c r="A305" s="3" t="s">
        <v>279</v>
      </c>
      <c r="B305" s="10">
        <v>12671</v>
      </c>
      <c r="C305" s="23">
        <f t="shared" si="23"/>
        <v>5.4874906347577163E-3</v>
      </c>
      <c r="E305" s="37">
        <v>6</v>
      </c>
      <c r="F305" s="13">
        <v>14.77</v>
      </c>
      <c r="G305" s="13">
        <f t="shared" si="24"/>
        <v>2.4616666666666664</v>
      </c>
      <c r="H305" s="13">
        <f t="shared" si="25"/>
        <v>1.3508372779228577E-2</v>
      </c>
    </row>
    <row r="306" spans="1:8" x14ac:dyDescent="0.25">
      <c r="A306" s="20" t="s">
        <v>0</v>
      </c>
      <c r="B306" s="21">
        <f>SUM(B269:B305)</f>
        <v>2309070</v>
      </c>
      <c r="C306" s="22">
        <f t="shared" si="23"/>
        <v>1</v>
      </c>
      <c r="D306" s="18"/>
      <c r="E306" s="18"/>
      <c r="F306" s="18"/>
      <c r="G306" s="39"/>
      <c r="H306" s="19">
        <f>SUM(H269:H305)</f>
        <v>3.3726626438003997</v>
      </c>
    </row>
    <row r="309" spans="1:8" x14ac:dyDescent="0.25">
      <c r="A309" s="9" t="s">
        <v>947</v>
      </c>
    </row>
    <row r="310" spans="1:8" x14ac:dyDescent="0.25">
      <c r="A310" s="3" t="s">
        <v>280</v>
      </c>
      <c r="B310" s="10">
        <v>12976</v>
      </c>
      <c r="C310" s="11">
        <f t="shared" ref="C310:C316" si="26">B310/B$316</f>
        <v>0.15736687000497229</v>
      </c>
      <c r="E310" s="37">
        <v>17.53</v>
      </c>
      <c r="F310" s="13">
        <v>49.08</v>
      </c>
      <c r="G310" s="13">
        <f t="shared" ref="G310:G315" si="27">F310/E310</f>
        <v>2.7997718197375923</v>
      </c>
      <c r="H310" s="13">
        <f t="shared" ref="H310:H315" si="28">G310*C310</f>
        <v>0.44059132800023038</v>
      </c>
    </row>
    <row r="311" spans="1:8" x14ac:dyDescent="0.25">
      <c r="A311" s="3" t="s">
        <v>281</v>
      </c>
      <c r="B311" s="10">
        <v>6797</v>
      </c>
      <c r="C311" s="11">
        <f t="shared" si="26"/>
        <v>8.2430842742277799E-2</v>
      </c>
      <c r="E311" s="37">
        <v>23</v>
      </c>
      <c r="F311" s="13">
        <v>49.4</v>
      </c>
      <c r="G311" s="13">
        <f t="shared" si="27"/>
        <v>2.1478260869565218</v>
      </c>
      <c r="H311" s="13">
        <f t="shared" si="28"/>
        <v>0.17704711441167492</v>
      </c>
    </row>
    <row r="312" spans="1:8" x14ac:dyDescent="0.25">
      <c r="A312" s="3" t="s">
        <v>282</v>
      </c>
      <c r="B312" s="10">
        <v>22054</v>
      </c>
      <c r="C312" s="11">
        <f t="shared" si="26"/>
        <v>0.26746061583613279</v>
      </c>
      <c r="E312" s="37">
        <v>29.57</v>
      </c>
      <c r="F312" s="13">
        <v>62.77</v>
      </c>
      <c r="G312" s="13">
        <f t="shared" si="27"/>
        <v>2.1227595536016235</v>
      </c>
      <c r="H312" s="13">
        <f t="shared" si="28"/>
        <v>0.56775457747832458</v>
      </c>
    </row>
    <row r="313" spans="1:8" x14ac:dyDescent="0.25">
      <c r="A313" s="3" t="s">
        <v>283</v>
      </c>
      <c r="B313" s="10">
        <v>7407</v>
      </c>
      <c r="C313" s="11">
        <f t="shared" si="26"/>
        <v>8.9828637956753221E-2</v>
      </c>
      <c r="E313" s="37">
        <v>29.1</v>
      </c>
      <c r="F313" s="13">
        <v>56.53</v>
      </c>
      <c r="G313" s="13">
        <f t="shared" si="27"/>
        <v>1.9426116838487972</v>
      </c>
      <c r="H313" s="13">
        <f t="shared" si="28"/>
        <v>0.17450216163901236</v>
      </c>
    </row>
    <row r="314" spans="1:8" x14ac:dyDescent="0.25">
      <c r="A314" s="3" t="s">
        <v>284</v>
      </c>
      <c r="B314" s="10">
        <v>9680</v>
      </c>
      <c r="C314" s="11">
        <f t="shared" si="26"/>
        <v>0.11739452078052803</v>
      </c>
      <c r="E314" s="37">
        <v>30.67</v>
      </c>
      <c r="F314" s="13">
        <v>59.88</v>
      </c>
      <c r="G314" s="13">
        <f t="shared" si="27"/>
        <v>1.9523964786436256</v>
      </c>
      <c r="H314" s="13">
        <f t="shared" si="28"/>
        <v>0.22920064898395887</v>
      </c>
    </row>
    <row r="315" spans="1:8" x14ac:dyDescent="0.25">
      <c r="A315" s="3" t="s">
        <v>285</v>
      </c>
      <c r="B315" s="10">
        <v>23543</v>
      </c>
      <c r="C315" s="11">
        <f t="shared" si="26"/>
        <v>0.28551851267933592</v>
      </c>
      <c r="E315" s="37">
        <v>4.21</v>
      </c>
      <c r="F315" s="13">
        <v>14.72</v>
      </c>
      <c r="G315" s="13">
        <f t="shared" si="27"/>
        <v>3.4964370546318291</v>
      </c>
      <c r="H315" s="13">
        <f t="shared" si="28"/>
        <v>0.99829750751539781</v>
      </c>
    </row>
    <row r="316" spans="1:8" x14ac:dyDescent="0.25">
      <c r="A316" s="20" t="s">
        <v>0</v>
      </c>
      <c r="B316" s="21">
        <f>SUM(B310:B315)</f>
        <v>82457</v>
      </c>
      <c r="C316" s="22">
        <f t="shared" si="26"/>
        <v>1</v>
      </c>
      <c r="D316" s="18"/>
      <c r="E316" s="18"/>
      <c r="F316" s="18"/>
      <c r="G316" s="39"/>
      <c r="H316" s="19">
        <f>SUM(H310:H315)</f>
        <v>2.5873933380285989</v>
      </c>
    </row>
    <row r="317" spans="1:8" x14ac:dyDescent="0.25">
      <c r="A317" s="17"/>
      <c r="B317" s="10"/>
      <c r="C317" s="26"/>
      <c r="G317" s="13"/>
      <c r="H317" s="27"/>
    </row>
    <row r="319" spans="1:8" x14ac:dyDescent="0.25">
      <c r="A319" s="9" t="s">
        <v>948</v>
      </c>
    </row>
    <row r="320" spans="1:8" x14ac:dyDescent="0.25">
      <c r="A320" s="3" t="s">
        <v>286</v>
      </c>
      <c r="B320" s="10">
        <v>4729</v>
      </c>
      <c r="C320" s="11">
        <f>B320/B$345</f>
        <v>2.1238087539184249E-2</v>
      </c>
      <c r="E320" s="37">
        <v>14.35</v>
      </c>
      <c r="F320" s="13">
        <v>31.23</v>
      </c>
      <c r="G320" s="13">
        <f>F320/E320</f>
        <v>2.1763066202090595</v>
      </c>
      <c r="H320" s="13">
        <f>G320*C320</f>
        <v>4.6220590512106211E-2</v>
      </c>
    </row>
    <row r="321" spans="1:8" x14ac:dyDescent="0.25">
      <c r="A321" s="3" t="s">
        <v>287</v>
      </c>
      <c r="B321" s="10">
        <v>17759</v>
      </c>
      <c r="C321" s="11">
        <f t="shared" ref="C321:C344" si="29">B321/B$345</f>
        <v>7.9756226815050346E-2</v>
      </c>
      <c r="E321" s="37">
        <v>2.81</v>
      </c>
      <c r="F321" s="13">
        <v>9.5</v>
      </c>
      <c r="G321" s="13">
        <f t="shared" ref="G321:G344" si="30">F321/E321</f>
        <v>3.3807829181494662</v>
      </c>
      <c r="H321" s="13">
        <f>G321*C321</f>
        <v>0.2696384892323766</v>
      </c>
    </row>
    <row r="322" spans="1:8" x14ac:dyDescent="0.25">
      <c r="A322" s="3" t="s">
        <v>288</v>
      </c>
      <c r="B322" s="10">
        <v>1712</v>
      </c>
      <c r="C322" s="11">
        <f t="shared" si="29"/>
        <v>7.6886457743885464E-3</v>
      </c>
      <c r="E322" s="37">
        <v>24.88</v>
      </c>
      <c r="F322" s="13">
        <v>56.39</v>
      </c>
      <c r="G322" s="13">
        <f t="shared" si="30"/>
        <v>2.2664790996784565</v>
      </c>
      <c r="H322" s="13">
        <f>G322*C322</f>
        <v>1.742615495248272E-2</v>
      </c>
    </row>
    <row r="323" spans="1:8" x14ac:dyDescent="0.25">
      <c r="A323" s="3" t="s">
        <v>289</v>
      </c>
      <c r="B323" s="10">
        <v>3644</v>
      </c>
      <c r="C323" s="11">
        <f t="shared" si="29"/>
        <v>1.6365318459037301E-2</v>
      </c>
      <c r="E323" s="37">
        <v>19.25</v>
      </c>
      <c r="F323" s="13">
        <v>44.91</v>
      </c>
      <c r="G323" s="13">
        <f t="shared" si="30"/>
        <v>2.3329870129870129</v>
      </c>
      <c r="H323" s="13">
        <f>G323*C323</f>
        <v>3.8180075428330656E-2</v>
      </c>
    </row>
    <row r="324" spans="1:8" x14ac:dyDescent="0.25">
      <c r="A324" s="3" t="s">
        <v>290</v>
      </c>
      <c r="B324" s="10">
        <v>2531</v>
      </c>
      <c r="C324" s="11">
        <f t="shared" si="29"/>
        <v>1.1366800499402693E-2</v>
      </c>
      <c r="E324" s="37">
        <v>1.67</v>
      </c>
      <c r="F324" s="13">
        <v>2.69</v>
      </c>
      <c r="G324" s="13">
        <f t="shared" si="30"/>
        <v>1.6107784431137724</v>
      </c>
      <c r="H324" s="13">
        <f>G324*C324</f>
        <v>1.8309397211612718E-2</v>
      </c>
    </row>
    <row r="325" spans="1:8" x14ac:dyDescent="0.25">
      <c r="A325" s="3" t="s">
        <v>291</v>
      </c>
      <c r="B325" s="10">
        <v>3738</v>
      </c>
      <c r="C325" s="11">
        <f t="shared" si="29"/>
        <v>1.6787475411603029E-2</v>
      </c>
      <c r="E325" s="37">
        <v>8.11</v>
      </c>
      <c r="F325" s="13">
        <v>22.59</v>
      </c>
      <c r="G325" s="13">
        <f t="shared" si="30"/>
        <v>2.7854500616522815</v>
      </c>
      <c r="H325" s="13">
        <f t="shared" ref="H325:H344" si="31">G325*C325</f>
        <v>4.6760674420235813E-2</v>
      </c>
    </row>
    <row r="326" spans="1:8" x14ac:dyDescent="0.25">
      <c r="A326" s="3" t="s">
        <v>292</v>
      </c>
      <c r="B326" s="10">
        <v>7764</v>
      </c>
      <c r="C326" s="11">
        <f t="shared" si="29"/>
        <v>3.4868367869364876E-2</v>
      </c>
      <c r="E326" s="37">
        <v>21.76</v>
      </c>
      <c r="F326" s="13">
        <v>52.85</v>
      </c>
      <c r="G326" s="13">
        <f t="shared" si="30"/>
        <v>2.4287683823529411</v>
      </c>
      <c r="H326" s="13">
        <f t="shared" si="31"/>
        <v>8.4687189425364601E-2</v>
      </c>
    </row>
    <row r="327" spans="1:8" x14ac:dyDescent="0.25">
      <c r="A327" s="3" t="s">
        <v>293</v>
      </c>
      <c r="B327" s="10">
        <v>7013</v>
      </c>
      <c r="C327" s="11">
        <f t="shared" si="29"/>
        <v>3.1495603280249342E-2</v>
      </c>
      <c r="E327" s="37">
        <v>7.27</v>
      </c>
      <c r="F327" s="13">
        <v>23.31</v>
      </c>
      <c r="G327" s="13">
        <f t="shared" si="30"/>
        <v>3.206327372764787</v>
      </c>
      <c r="H327" s="13">
        <f t="shared" si="31"/>
        <v>0.10098521491920388</v>
      </c>
    </row>
    <row r="328" spans="1:8" x14ac:dyDescent="0.25">
      <c r="A328" s="3" t="s">
        <v>294</v>
      </c>
      <c r="B328" s="10">
        <v>7237</v>
      </c>
      <c r="C328" s="11">
        <f t="shared" si="29"/>
        <v>3.2501594316150649E-2</v>
      </c>
      <c r="E328" s="37">
        <v>20.78</v>
      </c>
      <c r="F328" s="13">
        <v>41.8</v>
      </c>
      <c r="G328" s="13">
        <f t="shared" si="30"/>
        <v>2.0115495668912415</v>
      </c>
      <c r="H328" s="13">
        <f t="shared" si="31"/>
        <v>6.5378567969927678E-2</v>
      </c>
    </row>
    <row r="329" spans="1:8" x14ac:dyDescent="0.25">
      <c r="A329" s="3" t="s">
        <v>295</v>
      </c>
      <c r="B329" s="10">
        <v>2887</v>
      </c>
      <c r="C329" s="11">
        <f t="shared" si="29"/>
        <v>1.2965607681460125E-2</v>
      </c>
      <c r="E329" s="37">
        <v>11.63</v>
      </c>
      <c r="F329" s="13">
        <v>29.09</v>
      </c>
      <c r="G329" s="13">
        <f t="shared" si="30"/>
        <v>2.5012897678417882</v>
      </c>
      <c r="H329" s="13">
        <f t="shared" si="31"/>
        <v>3.2430741827487106E-2</v>
      </c>
    </row>
    <row r="330" spans="1:8" x14ac:dyDescent="0.25">
      <c r="A330" s="3" t="s">
        <v>296</v>
      </c>
      <c r="B330" s="10">
        <v>2915</v>
      </c>
      <c r="C330" s="11">
        <f t="shared" si="29"/>
        <v>1.3091356560947787E-2</v>
      </c>
      <c r="E330" s="37">
        <v>8.2899999999999991</v>
      </c>
      <c r="F330" s="13">
        <v>22.68</v>
      </c>
      <c r="G330" s="13">
        <f t="shared" si="30"/>
        <v>2.7358262967430642</v>
      </c>
      <c r="H330" s="13">
        <f t="shared" si="31"/>
        <v>3.5815677539480797E-2</v>
      </c>
    </row>
    <row r="331" spans="1:8" x14ac:dyDescent="0.25">
      <c r="A331" s="3" t="s">
        <v>297</v>
      </c>
      <c r="B331" s="10">
        <v>4745</v>
      </c>
      <c r="C331" s="11">
        <f t="shared" si="29"/>
        <v>2.130994404174863E-2</v>
      </c>
      <c r="E331" s="37">
        <v>10.34</v>
      </c>
      <c r="F331" s="13">
        <v>36.01</v>
      </c>
      <c r="G331" s="13">
        <f t="shared" si="30"/>
        <v>3.4825918762088972</v>
      </c>
      <c r="H331" s="13">
        <f t="shared" si="31"/>
        <v>7.4213838002259974E-2</v>
      </c>
    </row>
    <row r="332" spans="1:8" x14ac:dyDescent="0.25">
      <c r="A332" s="3" t="s">
        <v>298</v>
      </c>
      <c r="B332" s="10">
        <v>64763</v>
      </c>
      <c r="C332" s="11">
        <f t="shared" si="29"/>
        <v>0.29085266722355457</v>
      </c>
      <c r="E332" s="37">
        <v>3.8</v>
      </c>
      <c r="F332" s="13">
        <v>12.89</v>
      </c>
      <c r="G332" s="13">
        <f t="shared" si="30"/>
        <v>3.392105263157895</v>
      </c>
      <c r="H332" s="13">
        <f t="shared" si="31"/>
        <v>0.98660286329253122</v>
      </c>
    </row>
    <row r="333" spans="1:8" x14ac:dyDescent="0.25">
      <c r="A333" s="3" t="s">
        <v>299</v>
      </c>
      <c r="B333" s="10">
        <v>2436</v>
      </c>
      <c r="C333" s="11">
        <f t="shared" si="29"/>
        <v>1.0940152515426693E-2</v>
      </c>
      <c r="E333" s="37">
        <v>13.16</v>
      </c>
      <c r="F333" s="13">
        <v>32.700000000000003</v>
      </c>
      <c r="G333" s="13">
        <f t="shared" si="30"/>
        <v>2.4848024316109423</v>
      </c>
      <c r="H333" s="13">
        <f t="shared" si="31"/>
        <v>2.7184117572526811E-2</v>
      </c>
    </row>
    <row r="334" spans="1:8" x14ac:dyDescent="0.25">
      <c r="A334" s="3" t="s">
        <v>300</v>
      </c>
      <c r="B334" s="10">
        <v>6451</v>
      </c>
      <c r="C334" s="11">
        <f t="shared" si="29"/>
        <v>2.8971643627675531E-2</v>
      </c>
      <c r="E334" s="37">
        <v>1.67</v>
      </c>
      <c r="F334" s="13">
        <v>7.69</v>
      </c>
      <c r="G334" s="13">
        <f t="shared" si="30"/>
        <v>4.6047904191616773</v>
      </c>
      <c r="H334" s="13">
        <f t="shared" si="31"/>
        <v>0.13340834700408674</v>
      </c>
    </row>
    <row r="335" spans="1:8" x14ac:dyDescent="0.25">
      <c r="A335" s="3" t="s">
        <v>301</v>
      </c>
      <c r="B335" s="10">
        <v>4027</v>
      </c>
      <c r="C335" s="11">
        <f t="shared" si="29"/>
        <v>1.8085383489172123E-2</v>
      </c>
      <c r="E335" s="37">
        <v>12.03</v>
      </c>
      <c r="F335" s="13">
        <v>38.69</v>
      </c>
      <c r="G335" s="13">
        <f t="shared" si="30"/>
        <v>3.2161263507896924</v>
      </c>
      <c r="H335" s="13">
        <f t="shared" si="31"/>
        <v>5.8164878403663293E-2</v>
      </c>
    </row>
    <row r="336" spans="1:8" x14ac:dyDescent="0.25">
      <c r="A336" s="3" t="s">
        <v>302</v>
      </c>
      <c r="B336" s="10">
        <v>2664</v>
      </c>
      <c r="C336" s="11">
        <f t="shared" si="29"/>
        <v>1.1964107676969093E-2</v>
      </c>
      <c r="E336" s="37">
        <v>7.63</v>
      </c>
      <c r="F336" s="13">
        <v>17.28</v>
      </c>
      <c r="G336" s="13">
        <f t="shared" si="30"/>
        <v>2.2647444298820449</v>
      </c>
      <c r="H336" s="13">
        <f t="shared" si="31"/>
        <v>2.7095646219924767E-2</v>
      </c>
    </row>
    <row r="337" spans="1:8" x14ac:dyDescent="0.25">
      <c r="A337" s="3" t="s">
        <v>303</v>
      </c>
      <c r="B337" s="10">
        <v>5700</v>
      </c>
      <c r="C337" s="11">
        <f t="shared" si="29"/>
        <v>2.5598879038559997E-2</v>
      </c>
      <c r="E337" s="37">
        <v>11.47</v>
      </c>
      <c r="F337" s="13">
        <v>35.17</v>
      </c>
      <c r="G337" s="13">
        <f t="shared" si="30"/>
        <v>3.0662598081952921</v>
      </c>
      <c r="H337" s="13">
        <f t="shared" si="31"/>
        <v>7.8492813930789454E-2</v>
      </c>
    </row>
    <row r="338" spans="1:8" x14ac:dyDescent="0.25">
      <c r="A338" s="3" t="s">
        <v>304</v>
      </c>
      <c r="B338" s="10">
        <v>10357</v>
      </c>
      <c r="C338" s="11">
        <f t="shared" si="29"/>
        <v>4.6513612316204538E-2</v>
      </c>
      <c r="E338" s="37">
        <v>2.88</v>
      </c>
      <c r="F338" s="13">
        <v>9.23</v>
      </c>
      <c r="G338" s="13">
        <f t="shared" si="30"/>
        <v>3.2048611111111112</v>
      </c>
      <c r="H338" s="13">
        <f t="shared" si="31"/>
        <v>0.14906966724950274</v>
      </c>
    </row>
    <row r="339" spans="1:8" x14ac:dyDescent="0.25">
      <c r="A339" s="3" t="s">
        <v>305</v>
      </c>
      <c r="B339" s="10">
        <v>5157</v>
      </c>
      <c r="C339" s="11">
        <f t="shared" si="29"/>
        <v>2.3160248982781385E-2</v>
      </c>
      <c r="E339" s="37">
        <v>7.45</v>
      </c>
      <c r="F339" s="13">
        <v>21.74</v>
      </c>
      <c r="G339" s="13">
        <f t="shared" si="30"/>
        <v>2.9181208053691274</v>
      </c>
      <c r="H339" s="13">
        <f t="shared" si="31"/>
        <v>6.7584404414183535E-2</v>
      </c>
    </row>
    <row r="340" spans="1:8" x14ac:dyDescent="0.25">
      <c r="A340" s="3" t="s">
        <v>306</v>
      </c>
      <c r="B340" s="10">
        <v>13349</v>
      </c>
      <c r="C340" s="11">
        <f t="shared" si="29"/>
        <v>5.9950778295743398E-2</v>
      </c>
      <c r="E340" s="37">
        <v>4.5</v>
      </c>
      <c r="F340" s="13">
        <v>10.25</v>
      </c>
      <c r="G340" s="13">
        <f t="shared" si="30"/>
        <v>2.2777777777777777</v>
      </c>
      <c r="H340" s="13">
        <f t="shared" si="31"/>
        <v>0.13655455056252663</v>
      </c>
    </row>
    <row r="341" spans="1:8" x14ac:dyDescent="0.25">
      <c r="A341" s="3" t="s">
        <v>307</v>
      </c>
      <c r="B341" s="10">
        <v>22316</v>
      </c>
      <c r="C341" s="11">
        <f t="shared" si="29"/>
        <v>0.10022185695166752</v>
      </c>
      <c r="E341" s="37">
        <v>3.07</v>
      </c>
      <c r="F341" s="13">
        <v>8.59</v>
      </c>
      <c r="G341" s="13">
        <f t="shared" si="30"/>
        <v>2.7980456026058631</v>
      </c>
      <c r="H341" s="13">
        <f t="shared" si="31"/>
        <v>0.28042532612860716</v>
      </c>
    </row>
    <row r="342" spans="1:8" x14ac:dyDescent="0.25">
      <c r="A342" s="3" t="s">
        <v>308</v>
      </c>
      <c r="B342" s="10">
        <v>4233</v>
      </c>
      <c r="C342" s="11">
        <f t="shared" si="29"/>
        <v>1.9010535959688501E-2</v>
      </c>
      <c r="E342" s="37">
        <v>12.5</v>
      </c>
      <c r="F342" s="13">
        <v>30.84</v>
      </c>
      <c r="G342" s="13">
        <f t="shared" si="30"/>
        <v>2.4672000000000001</v>
      </c>
      <c r="H342" s="13">
        <f t="shared" si="31"/>
        <v>4.6902794319743472E-2</v>
      </c>
    </row>
    <row r="343" spans="1:8" x14ac:dyDescent="0.25">
      <c r="A343" s="3" t="s">
        <v>309</v>
      </c>
      <c r="B343" s="10">
        <v>9749</v>
      </c>
      <c r="C343" s="11">
        <f t="shared" si="29"/>
        <v>4.378306521875814E-2</v>
      </c>
      <c r="E343" s="37">
        <v>10.1</v>
      </c>
      <c r="F343" s="13">
        <v>33.93</v>
      </c>
      <c r="G343" s="13">
        <f t="shared" si="30"/>
        <v>3.3594059405940593</v>
      </c>
      <c r="H343" s="13">
        <f t="shared" si="31"/>
        <v>0.14708508939331322</v>
      </c>
    </row>
    <row r="344" spans="1:8" x14ac:dyDescent="0.25">
      <c r="A344" s="3" t="s">
        <v>310</v>
      </c>
      <c r="B344" s="10">
        <v>4790</v>
      </c>
      <c r="C344" s="11">
        <f t="shared" si="29"/>
        <v>2.1512040455210945E-2</v>
      </c>
      <c r="E344" s="37">
        <v>8.9499999999999993</v>
      </c>
      <c r="F344" s="13">
        <v>18.53</v>
      </c>
      <c r="G344" s="13">
        <f t="shared" si="30"/>
        <v>2.0703910614525141</v>
      </c>
      <c r="H344" s="13">
        <f t="shared" si="31"/>
        <v>4.4538336272073611E-2</v>
      </c>
    </row>
    <row r="345" spans="1:8" x14ac:dyDescent="0.25">
      <c r="A345" s="20" t="s">
        <v>0</v>
      </c>
      <c r="B345" s="21">
        <f>SUM(B320:B344)</f>
        <v>222666</v>
      </c>
      <c r="C345" s="22">
        <f>B345/B$345</f>
        <v>1</v>
      </c>
      <c r="D345" s="18"/>
      <c r="E345" s="18"/>
      <c r="F345" s="18"/>
      <c r="G345" s="39"/>
      <c r="H345" s="19">
        <f>SUM(H320:H344)</f>
        <v>3.0131554462043417</v>
      </c>
    </row>
    <row r="348" spans="1:8" x14ac:dyDescent="0.25">
      <c r="A348" s="9" t="s">
        <v>949</v>
      </c>
    </row>
    <row r="349" spans="1:8" x14ac:dyDescent="0.25">
      <c r="A349" s="3" t="s">
        <v>311</v>
      </c>
      <c r="B349" s="10">
        <v>10365</v>
      </c>
      <c r="C349" s="11">
        <f t="shared" ref="C349:C363" si="32">B349/B$365</f>
        <v>2.9564617157461181E-2</v>
      </c>
      <c r="E349" s="37">
        <v>12.67</v>
      </c>
      <c r="F349" s="13">
        <v>32.01</v>
      </c>
      <c r="G349" s="13">
        <f>F349/E349</f>
        <v>2.5264404104183109</v>
      </c>
      <c r="H349" s="13">
        <f>G349*C349</f>
        <v>7.4693243505156465E-2</v>
      </c>
    </row>
    <row r="350" spans="1:8" x14ac:dyDescent="0.25">
      <c r="A350" s="3" t="s">
        <v>312</v>
      </c>
      <c r="B350" s="10">
        <v>54808</v>
      </c>
      <c r="C350" s="11">
        <f t="shared" si="32"/>
        <v>0.15633164854473056</v>
      </c>
      <c r="E350" s="37">
        <v>4.28</v>
      </c>
      <c r="F350" s="13">
        <v>17.12</v>
      </c>
      <c r="G350" s="13">
        <f t="shared" ref="G350:G364" si="33">F350/E350</f>
        <v>4</v>
      </c>
      <c r="H350" s="13">
        <f>G350*C350</f>
        <v>0.62532659417892222</v>
      </c>
    </row>
    <row r="351" spans="1:8" x14ac:dyDescent="0.25">
      <c r="A351" s="3" t="s">
        <v>313</v>
      </c>
      <c r="B351" s="10">
        <v>8611</v>
      </c>
      <c r="C351" s="11">
        <f t="shared" si="32"/>
        <v>2.4561593665499103E-2</v>
      </c>
      <c r="E351" s="37">
        <v>3.46</v>
      </c>
      <c r="F351" s="13">
        <v>6.98</v>
      </c>
      <c r="G351" s="13">
        <f t="shared" si="33"/>
        <v>2.0173410404624277</v>
      </c>
      <c r="H351" s="13">
        <f>G351*C351</f>
        <v>4.9549110920573333E-2</v>
      </c>
    </row>
    <row r="352" spans="1:8" x14ac:dyDescent="0.25">
      <c r="A352" s="3" t="s">
        <v>314</v>
      </c>
      <c r="B352" s="10">
        <v>15407</v>
      </c>
      <c r="C352" s="11">
        <f t="shared" si="32"/>
        <v>4.3946170433671432E-2</v>
      </c>
      <c r="E352" s="37">
        <v>4.1900000000000004</v>
      </c>
      <c r="F352" s="13">
        <v>15.97</v>
      </c>
      <c r="G352" s="13">
        <f t="shared" si="33"/>
        <v>3.8114558472553699</v>
      </c>
      <c r="H352" s="13">
        <f>G352*C352</f>
        <v>0.16749888826389803</v>
      </c>
    </row>
    <row r="353" spans="1:8" x14ac:dyDescent="0.25">
      <c r="A353" s="3" t="s">
        <v>315</v>
      </c>
      <c r="B353" s="10">
        <v>75089</v>
      </c>
      <c r="C353" s="11">
        <f t="shared" si="32"/>
        <v>0.21418017730213243</v>
      </c>
      <c r="E353" s="37">
        <v>3.88</v>
      </c>
      <c r="F353" s="13">
        <v>12.78</v>
      </c>
      <c r="G353" s="13">
        <f t="shared" si="33"/>
        <v>3.2938144329896906</v>
      </c>
      <c r="H353" s="13">
        <f>G353*C353</f>
        <v>0.70546975925805477</v>
      </c>
    </row>
    <row r="354" spans="1:8" x14ac:dyDescent="0.25">
      <c r="A354" s="3" t="s">
        <v>316</v>
      </c>
      <c r="B354" s="10">
        <v>7660</v>
      </c>
      <c r="C354" s="11">
        <f t="shared" si="32"/>
        <v>2.1849007952354331E-2</v>
      </c>
      <c r="E354" s="37">
        <v>8.84</v>
      </c>
      <c r="F354" s="13">
        <v>21.52</v>
      </c>
      <c r="G354" s="13">
        <f t="shared" si="33"/>
        <v>2.434389140271493</v>
      </c>
      <c r="H354" s="13">
        <f t="shared" ref="H354:H364" si="34">G354*C354</f>
        <v>5.3188987684916873E-2</v>
      </c>
    </row>
    <row r="355" spans="1:8" x14ac:dyDescent="0.25">
      <c r="A355" s="3" t="s">
        <v>317</v>
      </c>
      <c r="B355" s="10">
        <v>11004</v>
      </c>
      <c r="C355" s="11">
        <f t="shared" si="32"/>
        <v>3.1387269387429119E-2</v>
      </c>
      <c r="E355" s="37">
        <v>11.94</v>
      </c>
      <c r="F355" s="13">
        <v>29.52</v>
      </c>
      <c r="G355" s="13">
        <f t="shared" si="33"/>
        <v>2.4723618090452262</v>
      </c>
      <c r="H355" s="13">
        <f t="shared" si="34"/>
        <v>7.7600686123694099E-2</v>
      </c>
    </row>
    <row r="356" spans="1:8" x14ac:dyDescent="0.25">
      <c r="A356" s="3" t="s">
        <v>318</v>
      </c>
      <c r="B356" s="10">
        <v>17290</v>
      </c>
      <c r="C356" s="11">
        <f t="shared" si="32"/>
        <v>4.9317147192716237E-2</v>
      </c>
      <c r="E356" s="37">
        <v>3.05</v>
      </c>
      <c r="F356" s="13">
        <v>9.9600000000000009</v>
      </c>
      <c r="G356" s="13">
        <f t="shared" si="33"/>
        <v>3.2655737704918035</v>
      </c>
      <c r="H356" s="13">
        <f t="shared" si="34"/>
        <v>0.16104878230801764</v>
      </c>
    </row>
    <row r="357" spans="1:8" x14ac:dyDescent="0.25">
      <c r="A357" s="3" t="s">
        <v>319</v>
      </c>
      <c r="B357" s="10">
        <v>13401</v>
      </c>
      <c r="C357" s="11">
        <f t="shared" si="32"/>
        <v>3.8224354512989604E-2</v>
      </c>
      <c r="E357" s="37">
        <v>9.9600000000000009</v>
      </c>
      <c r="F357" s="13">
        <v>27.83</v>
      </c>
      <c r="G357" s="13">
        <f t="shared" si="33"/>
        <v>2.7941767068273089</v>
      </c>
      <c r="H357" s="13">
        <f t="shared" si="34"/>
        <v>0.10680560101370487</v>
      </c>
    </row>
    <row r="358" spans="1:8" x14ac:dyDescent="0.25">
      <c r="A358" s="3" t="s">
        <v>320</v>
      </c>
      <c r="B358" s="10">
        <v>35423</v>
      </c>
      <c r="C358" s="11">
        <f t="shared" si="32"/>
        <v>0.1010388262005545</v>
      </c>
      <c r="E358" s="37">
        <v>3.66</v>
      </c>
      <c r="F358" s="13">
        <v>7.54</v>
      </c>
      <c r="G358" s="13">
        <f t="shared" si="33"/>
        <v>2.0601092896174862</v>
      </c>
      <c r="H358" s="13">
        <f t="shared" si="34"/>
        <v>0.20815102446780898</v>
      </c>
    </row>
    <row r="359" spans="1:8" x14ac:dyDescent="0.25">
      <c r="A359" s="3" t="s">
        <v>321</v>
      </c>
      <c r="B359" s="10">
        <v>40594</v>
      </c>
      <c r="C359" s="11">
        <f t="shared" si="32"/>
        <v>0.11578833274384748</v>
      </c>
      <c r="E359" s="37">
        <v>3.33</v>
      </c>
      <c r="F359" s="13">
        <v>12.56</v>
      </c>
      <c r="G359" s="13">
        <f t="shared" si="33"/>
        <v>3.771771771771772</v>
      </c>
      <c r="H359" s="13">
        <f t="shared" si="34"/>
        <v>0.43672716494376107</v>
      </c>
    </row>
    <row r="360" spans="1:8" x14ac:dyDescent="0.25">
      <c r="A360" s="3" t="s">
        <v>322</v>
      </c>
      <c r="B360" s="10">
        <v>16614</v>
      </c>
      <c r="C360" s="11">
        <f t="shared" si="32"/>
        <v>4.7388957979166431E-2</v>
      </c>
      <c r="E360" s="37">
        <v>10.97</v>
      </c>
      <c r="F360" s="13">
        <v>28.84</v>
      </c>
      <c r="G360" s="13">
        <f t="shared" si="33"/>
        <v>2.6289881494986327</v>
      </c>
      <c r="H360" s="13">
        <f t="shared" si="34"/>
        <v>0.12458500894431722</v>
      </c>
    </row>
    <row r="361" spans="1:8" x14ac:dyDescent="0.25">
      <c r="A361" s="3" t="s">
        <v>323</v>
      </c>
      <c r="B361" s="10">
        <v>9364</v>
      </c>
      <c r="C361" s="11">
        <f t="shared" si="32"/>
        <v>2.6709413898935504E-2</v>
      </c>
      <c r="E361" s="37">
        <v>9.5</v>
      </c>
      <c r="F361" s="13">
        <v>20.8</v>
      </c>
      <c r="G361" s="13">
        <f t="shared" si="33"/>
        <v>2.1894736842105265</v>
      </c>
      <c r="H361" s="13">
        <f t="shared" si="34"/>
        <v>5.847955885240616E-2</v>
      </c>
    </row>
    <row r="362" spans="1:8" x14ac:dyDescent="0.25">
      <c r="A362" s="3" t="s">
        <v>324</v>
      </c>
      <c r="B362" s="10">
        <v>17238</v>
      </c>
      <c r="C362" s="11">
        <f t="shared" si="32"/>
        <v>4.91688249455201E-2</v>
      </c>
      <c r="E362" s="37">
        <v>12.36</v>
      </c>
      <c r="F362" s="13">
        <v>33.99</v>
      </c>
      <c r="G362" s="13">
        <f>F362/E362</f>
        <v>2.7500000000000004</v>
      </c>
      <c r="H362" s="13">
        <f>G362*C362</f>
        <v>0.13521426860018029</v>
      </c>
    </row>
    <row r="363" spans="1:8" x14ac:dyDescent="0.25">
      <c r="A363" s="3" t="s">
        <v>325</v>
      </c>
      <c r="B363" s="10">
        <v>8363</v>
      </c>
      <c r="C363" s="11">
        <f t="shared" si="32"/>
        <v>2.3854210640409827E-2</v>
      </c>
      <c r="E363" s="37">
        <v>7.1</v>
      </c>
      <c r="F363" s="13">
        <v>22.15</v>
      </c>
      <c r="G363" s="13">
        <f>F363/E363</f>
        <v>3.119718309859155</v>
      </c>
      <c r="H363" s="13">
        <f>G363*C363</f>
        <v>7.441841770212361E-2</v>
      </c>
    </row>
    <row r="364" spans="1:8" x14ac:dyDescent="0.25">
      <c r="A364" s="3" t="s">
        <v>326</v>
      </c>
      <c r="B364" s="10">
        <v>9357</v>
      </c>
      <c r="C364" s="11">
        <f>B364/B$365</f>
        <v>2.6689447442582177E-2</v>
      </c>
      <c r="E364" s="37">
        <v>10.199999999999999</v>
      </c>
      <c r="F364" s="13">
        <v>26.09</v>
      </c>
      <c r="G364" s="13">
        <f t="shared" si="33"/>
        <v>2.5578431372549022</v>
      </c>
      <c r="H364" s="13">
        <f t="shared" si="34"/>
        <v>6.8267419978134222E-2</v>
      </c>
    </row>
    <row r="365" spans="1:8" x14ac:dyDescent="0.25">
      <c r="A365" s="20" t="s">
        <v>0</v>
      </c>
      <c r="B365" s="21">
        <f>SUM(B349:B364)</f>
        <v>350588</v>
      </c>
      <c r="C365" s="22">
        <f>B365/B$365</f>
        <v>1</v>
      </c>
      <c r="D365" s="18"/>
      <c r="E365" s="18"/>
      <c r="F365" s="18"/>
      <c r="G365" s="39"/>
      <c r="H365" s="19">
        <f>SUM(H349:H364)</f>
        <v>3.1270245167456703</v>
      </c>
    </row>
    <row r="368" spans="1:8" x14ac:dyDescent="0.25">
      <c r="A368" s="9" t="s">
        <v>950</v>
      </c>
    </row>
    <row r="369" spans="1:8" x14ac:dyDescent="0.25">
      <c r="A369" s="3" t="s">
        <v>327</v>
      </c>
      <c r="B369" s="10">
        <v>9951</v>
      </c>
      <c r="C369" s="11">
        <f t="shared" ref="C369:C381" si="35">B369/B$381</f>
        <v>0.10198099962081228</v>
      </c>
      <c r="E369" s="37">
        <v>8.9600000000000009</v>
      </c>
      <c r="F369" s="13">
        <v>19.75</v>
      </c>
      <c r="G369" s="13">
        <f>F369/E369</f>
        <v>2.2042410714285712</v>
      </c>
      <c r="H369" s="13">
        <f>G369*C369</f>
        <v>0.22479070786953598</v>
      </c>
    </row>
    <row r="370" spans="1:8" x14ac:dyDescent="0.25">
      <c r="A370" s="3" t="s">
        <v>328</v>
      </c>
      <c r="B370" s="10">
        <v>5013</v>
      </c>
      <c r="C370" s="11">
        <f t="shared" si="35"/>
        <v>5.1374811687180381E-2</v>
      </c>
      <c r="E370" s="37">
        <v>13.19</v>
      </c>
      <c r="F370" s="13">
        <v>38.979999999999997</v>
      </c>
      <c r="G370" s="13">
        <f t="shared" ref="G370:G380" si="36">F370/E370</f>
        <v>2.9552691432903715</v>
      </c>
      <c r="H370" s="13">
        <f>G370*C370</f>
        <v>0.15182639572147774</v>
      </c>
    </row>
    <row r="371" spans="1:8" x14ac:dyDescent="0.25">
      <c r="A371" s="3" t="s">
        <v>329</v>
      </c>
      <c r="B371" s="10">
        <v>7577</v>
      </c>
      <c r="C371" s="11">
        <f t="shared" si="35"/>
        <v>7.7651495741824408E-2</v>
      </c>
      <c r="E371" s="37">
        <v>12.19</v>
      </c>
      <c r="F371" s="13">
        <v>29.26</v>
      </c>
      <c r="G371" s="13">
        <f t="shared" si="36"/>
        <v>2.4003281378178838</v>
      </c>
      <c r="H371" s="13">
        <f>G371*C371</f>
        <v>0.18638907017274672</v>
      </c>
    </row>
    <row r="372" spans="1:8" x14ac:dyDescent="0.25">
      <c r="A372" s="3" t="s">
        <v>330</v>
      </c>
      <c r="B372" s="10">
        <v>3493</v>
      </c>
      <c r="C372" s="11">
        <f t="shared" si="35"/>
        <v>3.5797370281931196E-2</v>
      </c>
      <c r="E372" s="37">
        <v>8.31</v>
      </c>
      <c r="F372" s="13">
        <v>20.6</v>
      </c>
      <c r="G372" s="13">
        <f t="shared" si="36"/>
        <v>2.4789410348977134</v>
      </c>
      <c r="H372" s="13">
        <f>G372*C372</f>
        <v>8.8739570133307175E-2</v>
      </c>
    </row>
    <row r="373" spans="1:8" x14ac:dyDescent="0.25">
      <c r="A373" s="3" t="s">
        <v>331</v>
      </c>
      <c r="B373" s="10">
        <v>13977</v>
      </c>
      <c r="C373" s="11">
        <f t="shared" si="35"/>
        <v>0.14324072271129468</v>
      </c>
      <c r="E373" s="37">
        <v>3.77</v>
      </c>
      <c r="F373" s="13">
        <v>6.49</v>
      </c>
      <c r="G373" s="13">
        <f t="shared" si="36"/>
        <v>1.7214854111405835</v>
      </c>
      <c r="H373" s="13">
        <f>G373*C373</f>
        <v>0.24658681442872743</v>
      </c>
    </row>
    <row r="374" spans="1:8" x14ac:dyDescent="0.25">
      <c r="A374" s="3" t="s">
        <v>332</v>
      </c>
      <c r="B374" s="10">
        <v>3078</v>
      </c>
      <c r="C374" s="11">
        <f t="shared" si="35"/>
        <v>3.1544318845629603E-2</v>
      </c>
      <c r="E374" s="37">
        <v>14.89</v>
      </c>
      <c r="F374" s="13">
        <v>33.020000000000003</v>
      </c>
      <c r="G374" s="13">
        <f t="shared" si="36"/>
        <v>2.2175957018132975</v>
      </c>
      <c r="H374" s="13">
        <f t="shared" ref="H374:H380" si="37">G374*C374</f>
        <v>6.9952545888696399E-2</v>
      </c>
    </row>
    <row r="375" spans="1:8" x14ac:dyDescent="0.25">
      <c r="A375" s="3" t="s">
        <v>333</v>
      </c>
      <c r="B375" s="10">
        <v>10319</v>
      </c>
      <c r="C375" s="11">
        <f t="shared" si="35"/>
        <v>0.10575238017155682</v>
      </c>
      <c r="E375" s="37">
        <v>11.24</v>
      </c>
      <c r="F375" s="13">
        <v>24.75</v>
      </c>
      <c r="G375" s="13">
        <f t="shared" si="36"/>
        <v>2.2019572953736652</v>
      </c>
      <c r="H375" s="13">
        <f t="shared" si="37"/>
        <v>0.23286222502188889</v>
      </c>
    </row>
    <row r="376" spans="1:8" x14ac:dyDescent="0.25">
      <c r="A376" s="3" t="s">
        <v>334</v>
      </c>
      <c r="B376" s="10">
        <v>6800</v>
      </c>
      <c r="C376" s="11">
        <f t="shared" si="35"/>
        <v>6.9688553655062158E-2</v>
      </c>
      <c r="E376" s="37">
        <v>8.67</v>
      </c>
      <c r="F376" s="13">
        <v>21.83</v>
      </c>
      <c r="G376" s="13">
        <f t="shared" si="36"/>
        <v>2.5178777393310265</v>
      </c>
      <c r="H376" s="13">
        <f t="shared" si="37"/>
        <v>0.17546725793425685</v>
      </c>
    </row>
    <row r="377" spans="1:8" x14ac:dyDescent="0.25">
      <c r="A377" s="3" t="s">
        <v>335</v>
      </c>
      <c r="B377" s="10">
        <v>16097</v>
      </c>
      <c r="C377" s="11">
        <f t="shared" si="35"/>
        <v>0.16496715414493168</v>
      </c>
      <c r="E377" s="37">
        <v>4.0599999999999996</v>
      </c>
      <c r="F377" s="13">
        <v>8.16</v>
      </c>
      <c r="G377" s="13">
        <f t="shared" si="36"/>
        <v>2.0098522167487687</v>
      </c>
      <c r="H377" s="13">
        <f t="shared" si="37"/>
        <v>0.33155960044892674</v>
      </c>
    </row>
    <row r="378" spans="1:8" x14ac:dyDescent="0.25">
      <c r="A378" s="3" t="s">
        <v>336</v>
      </c>
      <c r="B378" s="10">
        <v>2475</v>
      </c>
      <c r="C378" s="11">
        <f t="shared" si="35"/>
        <v>2.5364583867099829E-2</v>
      </c>
      <c r="E378" s="37">
        <v>10.199999999999999</v>
      </c>
      <c r="F378" s="13">
        <v>17.46</v>
      </c>
      <c r="G378" s="13">
        <f t="shared" si="36"/>
        <v>1.7117647058823531</v>
      </c>
      <c r="H378" s="13">
        <f t="shared" si="37"/>
        <v>4.341819944309442E-2</v>
      </c>
    </row>
    <row r="379" spans="1:8" x14ac:dyDescent="0.25">
      <c r="A379" s="3" t="s">
        <v>337</v>
      </c>
      <c r="B379" s="10">
        <v>8517</v>
      </c>
      <c r="C379" s="11">
        <f t="shared" si="35"/>
        <v>8.7284913452965351E-2</v>
      </c>
      <c r="E379" s="37">
        <v>15.63</v>
      </c>
      <c r="F379" s="13">
        <v>39.46</v>
      </c>
      <c r="G379" s="13">
        <f t="shared" si="36"/>
        <v>2.5246321177223288</v>
      </c>
      <c r="H379" s="13">
        <f t="shared" si="37"/>
        <v>0.22036229589597009</v>
      </c>
    </row>
    <row r="380" spans="1:8" x14ac:dyDescent="0.25">
      <c r="A380" s="3" t="s">
        <v>338</v>
      </c>
      <c r="B380" s="10">
        <v>10280</v>
      </c>
      <c r="C380" s="11">
        <f t="shared" si="35"/>
        <v>0.10535269581971161</v>
      </c>
      <c r="E380" s="37">
        <v>13.95</v>
      </c>
      <c r="F380" s="13">
        <v>26.06</v>
      </c>
      <c r="G380" s="13">
        <f t="shared" si="36"/>
        <v>1.868100358422939</v>
      </c>
      <c r="H380" s="13">
        <f t="shared" si="37"/>
        <v>0.19680940882162612</v>
      </c>
    </row>
    <row r="381" spans="1:8" x14ac:dyDescent="0.25">
      <c r="A381" s="20" t="s">
        <v>0</v>
      </c>
      <c r="B381" s="21">
        <f>SUM(B369:B380)</f>
        <v>97577</v>
      </c>
      <c r="C381" s="22">
        <f t="shared" si="35"/>
        <v>1</v>
      </c>
      <c r="D381" s="18"/>
      <c r="E381" s="18"/>
      <c r="F381" s="18"/>
      <c r="G381" s="39"/>
      <c r="H381" s="19">
        <f>SUM(H369:H380)</f>
        <v>2.1687640917802549</v>
      </c>
    </row>
    <row r="384" spans="1:8" x14ac:dyDescent="0.25">
      <c r="A384" s="9" t="s">
        <v>951</v>
      </c>
    </row>
    <row r="385" spans="1:8" x14ac:dyDescent="0.25">
      <c r="A385" s="3" t="s">
        <v>339</v>
      </c>
      <c r="B385" s="10">
        <v>1892122</v>
      </c>
      <c r="C385" s="23">
        <f t="shared" ref="C385:C440" si="38">B385/B$493</f>
        <v>0.50478608801066283</v>
      </c>
      <c r="E385" s="37">
        <v>12.67</v>
      </c>
      <c r="F385" s="13">
        <v>32.01</v>
      </c>
      <c r="G385" s="13">
        <f>F385/E385</f>
        <v>2.5264404104183109</v>
      </c>
      <c r="H385" s="13">
        <f>G385*C385</f>
        <v>1.2753119713671126</v>
      </c>
    </row>
    <row r="386" spans="1:8" x14ac:dyDescent="0.25">
      <c r="A386" s="3" t="s">
        <v>340</v>
      </c>
      <c r="B386" s="10">
        <v>10885</v>
      </c>
      <c r="C386" s="23">
        <f t="shared" si="38"/>
        <v>2.9039335560793987E-3</v>
      </c>
      <c r="E386" s="37">
        <v>24.19</v>
      </c>
      <c r="F386" s="13">
        <v>33.590000000000003</v>
      </c>
      <c r="G386" s="13">
        <f t="shared" ref="G386:G449" si="39">F386/E386</f>
        <v>1.388590326581232</v>
      </c>
      <c r="H386" s="13">
        <f>G386*C386</f>
        <v>4.0323740450064907E-3</v>
      </c>
    </row>
    <row r="387" spans="1:8" x14ac:dyDescent="0.25">
      <c r="A387" s="3" t="s">
        <v>341</v>
      </c>
      <c r="B387" s="10">
        <v>32258</v>
      </c>
      <c r="C387" s="23">
        <f t="shared" si="38"/>
        <v>8.6058877953155023E-3</v>
      </c>
      <c r="E387" s="37">
        <v>4.13</v>
      </c>
      <c r="F387" s="13">
        <v>10.18</v>
      </c>
      <c r="G387" s="13">
        <f t="shared" si="39"/>
        <v>2.4648910411622276</v>
      </c>
      <c r="H387" s="13">
        <f>G387*C387</f>
        <v>2.1212575727920537E-2</v>
      </c>
    </row>
    <row r="388" spans="1:8" x14ac:dyDescent="0.25">
      <c r="A388" s="3" t="s">
        <v>342</v>
      </c>
      <c r="B388" s="10">
        <v>4369</v>
      </c>
      <c r="C388" s="23">
        <f t="shared" si="38"/>
        <v>1.1655751682600728E-3</v>
      </c>
      <c r="E388" s="37">
        <v>12.64</v>
      </c>
      <c r="F388" s="13">
        <v>26.63</v>
      </c>
      <c r="G388" s="13">
        <f t="shared" si="39"/>
        <v>2.1068037974683542</v>
      </c>
      <c r="H388" s="13">
        <f>G388*C388</f>
        <v>2.4556381907251375E-3</v>
      </c>
    </row>
    <row r="389" spans="1:8" x14ac:dyDescent="0.25">
      <c r="A389" s="3" t="s">
        <v>343</v>
      </c>
      <c r="B389" s="10">
        <v>8840</v>
      </c>
      <c r="C389" s="23">
        <f t="shared" si="38"/>
        <v>2.3583622081526767E-3</v>
      </c>
      <c r="E389" s="37">
        <v>8.61</v>
      </c>
      <c r="F389" s="13">
        <v>15.2</v>
      </c>
      <c r="G389" s="13">
        <f t="shared" si="39"/>
        <v>1.7653890824622531</v>
      </c>
      <c r="H389" s="13">
        <f>G389*C389</f>
        <v>4.1634268947643074E-3</v>
      </c>
    </row>
    <row r="390" spans="1:8" x14ac:dyDescent="0.25">
      <c r="A390" s="3" t="s">
        <v>344</v>
      </c>
      <c r="B390" s="10">
        <v>15998</v>
      </c>
      <c r="C390" s="23">
        <f t="shared" si="38"/>
        <v>4.2679953174238148E-3</v>
      </c>
      <c r="E390" s="37">
        <v>13.82</v>
      </c>
      <c r="F390" s="13">
        <v>23.76</v>
      </c>
      <c r="G390" s="13">
        <f t="shared" si="39"/>
        <v>1.719247467438495</v>
      </c>
      <c r="H390" s="13">
        <f t="shared" ref="H390:H453" si="40">G390*C390</f>
        <v>7.3377401405202488E-3</v>
      </c>
    </row>
    <row r="391" spans="1:8" x14ac:dyDescent="0.25">
      <c r="A391" s="3" t="s">
        <v>345</v>
      </c>
      <c r="B391" s="10">
        <v>10381</v>
      </c>
      <c r="C391" s="23">
        <f t="shared" si="38"/>
        <v>2.7694748962480698E-3</v>
      </c>
      <c r="E391" s="37">
        <v>8.98</v>
      </c>
      <c r="F391" s="13">
        <v>22.04</v>
      </c>
      <c r="G391" s="13">
        <f t="shared" si="39"/>
        <v>2.4543429844097995</v>
      </c>
      <c r="H391" s="13">
        <f t="shared" si="40"/>
        <v>6.7972412821055072E-3</v>
      </c>
    </row>
    <row r="392" spans="1:8" x14ac:dyDescent="0.25">
      <c r="A392" s="3" t="s">
        <v>346</v>
      </c>
      <c r="B392" s="10">
        <v>9303</v>
      </c>
      <c r="C392" s="23">
        <f t="shared" si="38"/>
        <v>2.4818827627199492E-3</v>
      </c>
      <c r="E392" s="37">
        <v>12.42</v>
      </c>
      <c r="F392" s="13">
        <v>21.51</v>
      </c>
      <c r="G392" s="13">
        <f t="shared" si="39"/>
        <v>1.7318840579710146</v>
      </c>
      <c r="H392" s="13">
        <f t="shared" si="40"/>
        <v>4.2983331905077386E-3</v>
      </c>
    </row>
    <row r="393" spans="1:8" x14ac:dyDescent="0.25">
      <c r="A393" s="3" t="s">
        <v>347</v>
      </c>
      <c r="B393" s="10">
        <v>10887</v>
      </c>
      <c r="C393" s="23">
        <f t="shared" si="38"/>
        <v>2.9044671221898407E-3</v>
      </c>
      <c r="E393" s="37">
        <v>16.27</v>
      </c>
      <c r="F393" s="13">
        <v>38.92</v>
      </c>
      <c r="G393" s="13">
        <f t="shared" si="39"/>
        <v>2.3921327596803934</v>
      </c>
      <c r="H393" s="13">
        <f t="shared" si="40"/>
        <v>6.9478709524049536E-3</v>
      </c>
    </row>
    <row r="394" spans="1:8" x14ac:dyDescent="0.25">
      <c r="A394" s="3" t="s">
        <v>348</v>
      </c>
      <c r="B394" s="10">
        <v>6527</v>
      </c>
      <c r="C394" s="23">
        <f t="shared" si="38"/>
        <v>1.7412930014267557E-3</v>
      </c>
      <c r="E394" s="37">
        <v>16.25</v>
      </c>
      <c r="F394" s="13">
        <v>46.37</v>
      </c>
      <c r="G394" s="13">
        <f t="shared" si="39"/>
        <v>2.8535384615384616</v>
      </c>
      <c r="H394" s="13">
        <f t="shared" si="40"/>
        <v>4.9688465523789948E-3</v>
      </c>
    </row>
    <row r="395" spans="1:8" x14ac:dyDescent="0.25">
      <c r="A395" s="3" t="s">
        <v>349</v>
      </c>
      <c r="B395" s="10">
        <v>22971</v>
      </c>
      <c r="C395" s="23">
        <f t="shared" si="38"/>
        <v>6.1282735614790881E-3</v>
      </c>
      <c r="E395" s="37">
        <v>17.440000000000001</v>
      </c>
      <c r="F395" s="13">
        <v>32.049999999999997</v>
      </c>
      <c r="G395" s="13">
        <f t="shared" si="39"/>
        <v>1.8377293577981648</v>
      </c>
      <c r="H395" s="13">
        <f t="shared" si="40"/>
        <v>1.1262108236548437E-2</v>
      </c>
    </row>
    <row r="396" spans="1:8" x14ac:dyDescent="0.25">
      <c r="A396" s="3" t="s">
        <v>350</v>
      </c>
      <c r="B396" s="10">
        <v>10630</v>
      </c>
      <c r="C396" s="23">
        <f t="shared" si="38"/>
        <v>2.8359038769980717E-3</v>
      </c>
      <c r="E396" s="40">
        <v>14.44</v>
      </c>
      <c r="F396" s="13">
        <v>27.6</v>
      </c>
      <c r="G396" s="13">
        <f t="shared" si="39"/>
        <v>1.9113573407202218</v>
      </c>
      <c r="H396" s="13">
        <f t="shared" si="40"/>
        <v>5.4204256928772013E-3</v>
      </c>
    </row>
    <row r="397" spans="1:8" x14ac:dyDescent="0.25">
      <c r="A397" s="3" t="s">
        <v>351</v>
      </c>
      <c r="B397" s="10">
        <v>4593</v>
      </c>
      <c r="C397" s="23">
        <f t="shared" si="38"/>
        <v>1.2253345726295525E-3</v>
      </c>
      <c r="E397" s="37">
        <v>13.48</v>
      </c>
      <c r="F397" s="13">
        <v>26.64</v>
      </c>
      <c r="G397" s="13">
        <f t="shared" si="39"/>
        <v>1.9762611275964392</v>
      </c>
      <c r="H397" s="13">
        <f t="shared" si="40"/>
        <v>2.4215810841877804E-3</v>
      </c>
    </row>
    <row r="398" spans="1:8" x14ac:dyDescent="0.25">
      <c r="A398" s="3" t="s">
        <v>352</v>
      </c>
      <c r="B398" s="10">
        <v>50772</v>
      </c>
      <c r="C398" s="23">
        <f t="shared" si="38"/>
        <v>1.354510927967508E-2</v>
      </c>
      <c r="E398" s="37">
        <v>5.0199999999999996</v>
      </c>
      <c r="F398" s="13">
        <v>8.56</v>
      </c>
      <c r="G398" s="13">
        <f t="shared" si="39"/>
        <v>1.7051792828685262</v>
      </c>
      <c r="H398" s="13">
        <f t="shared" si="40"/>
        <v>2.3096839727892171E-2</v>
      </c>
    </row>
    <row r="399" spans="1:8" x14ac:dyDescent="0.25">
      <c r="A399" s="3" t="s">
        <v>353</v>
      </c>
      <c r="B399" s="10">
        <v>17978</v>
      </c>
      <c r="C399" s="23">
        <f t="shared" si="38"/>
        <v>4.7962257667611792E-3</v>
      </c>
      <c r="E399" s="37">
        <v>12.14</v>
      </c>
      <c r="F399" s="13">
        <v>24.38</v>
      </c>
      <c r="G399" s="13">
        <f t="shared" si="39"/>
        <v>2.0082372322899502</v>
      </c>
      <c r="H399" s="13">
        <f t="shared" si="40"/>
        <v>9.6319591592782146E-3</v>
      </c>
    </row>
    <row r="400" spans="1:8" x14ac:dyDescent="0.25">
      <c r="A400" s="3" t="s">
        <v>354</v>
      </c>
      <c r="B400" s="10">
        <v>3823</v>
      </c>
      <c r="C400" s="23">
        <f t="shared" si="38"/>
        <v>1.0199116201094665E-3</v>
      </c>
      <c r="E400" s="37">
        <v>12.54</v>
      </c>
      <c r="F400" s="13">
        <v>30.88</v>
      </c>
      <c r="G400" s="13">
        <f t="shared" si="39"/>
        <v>2.462519936204147</v>
      </c>
      <c r="H400" s="13">
        <f t="shared" si="40"/>
        <v>2.5115526976858316E-3</v>
      </c>
    </row>
    <row r="401" spans="1:8" s="28" customFormat="1" x14ac:dyDescent="0.25">
      <c r="A401" s="28" t="s">
        <v>355</v>
      </c>
      <c r="B401" s="29"/>
      <c r="C401" s="30">
        <f t="shared" si="38"/>
        <v>0</v>
      </c>
      <c r="E401" s="41"/>
      <c r="F401" s="32"/>
      <c r="G401" s="13"/>
      <c r="H401" s="13">
        <f t="shared" si="40"/>
        <v>0</v>
      </c>
    </row>
    <row r="402" spans="1:8" x14ac:dyDescent="0.25">
      <c r="A402" s="3" t="s">
        <v>356</v>
      </c>
      <c r="B402" s="10">
        <v>44279</v>
      </c>
      <c r="C402" s="23">
        <f t="shared" si="38"/>
        <v>1.1812886902125834E-2</v>
      </c>
      <c r="E402" s="37">
        <v>4.79</v>
      </c>
      <c r="F402" s="13">
        <v>11.48</v>
      </c>
      <c r="G402" s="13">
        <f t="shared" si="39"/>
        <v>2.3966597077244258</v>
      </c>
      <c r="H402" s="13">
        <f t="shared" si="40"/>
        <v>2.8311470070230601E-2</v>
      </c>
    </row>
    <row r="403" spans="1:8" x14ac:dyDescent="0.25">
      <c r="A403" s="3" t="s">
        <v>357</v>
      </c>
      <c r="B403" s="10">
        <v>22165</v>
      </c>
      <c r="C403" s="23">
        <f t="shared" si="38"/>
        <v>5.9132464189710502E-3</v>
      </c>
      <c r="E403" s="37">
        <v>16.07</v>
      </c>
      <c r="F403" s="13">
        <v>26.08</v>
      </c>
      <c r="G403" s="13">
        <f t="shared" si="39"/>
        <v>1.6228998133167392</v>
      </c>
      <c r="H403" s="13">
        <f t="shared" si="40"/>
        <v>9.5966065094439945E-3</v>
      </c>
    </row>
    <row r="404" spans="1:8" x14ac:dyDescent="0.25">
      <c r="A404" s="3" t="s">
        <v>358</v>
      </c>
      <c r="B404" s="10">
        <v>14725</v>
      </c>
      <c r="C404" s="23">
        <f t="shared" si="38"/>
        <v>3.9283804881276203E-3</v>
      </c>
      <c r="E404" s="37">
        <v>9.6300000000000008</v>
      </c>
      <c r="F404" s="13">
        <v>20.45</v>
      </c>
      <c r="G404" s="13">
        <f t="shared" si="39"/>
        <v>2.1235721703011419</v>
      </c>
      <c r="H404" s="13">
        <f t="shared" si="40"/>
        <v>8.3421994789418304E-3</v>
      </c>
    </row>
    <row r="405" spans="1:8" x14ac:dyDescent="0.25">
      <c r="A405" s="3" t="s">
        <v>359</v>
      </c>
      <c r="B405" s="10">
        <v>19707</v>
      </c>
      <c r="C405" s="23">
        <f t="shared" si="38"/>
        <v>5.2574936692380992E-3</v>
      </c>
      <c r="E405" s="37">
        <v>13.4</v>
      </c>
      <c r="F405" s="13">
        <v>31.62</v>
      </c>
      <c r="G405" s="13">
        <f t="shared" si="39"/>
        <v>2.3597014925373134</v>
      </c>
      <c r="H405" s="13">
        <f t="shared" si="40"/>
        <v>1.240611565830662E-2</v>
      </c>
    </row>
    <row r="406" spans="1:8" x14ac:dyDescent="0.25">
      <c r="A406" s="3" t="s">
        <v>360</v>
      </c>
      <c r="B406" s="10">
        <v>14350</v>
      </c>
      <c r="C406" s="23">
        <f t="shared" si="38"/>
        <v>3.8283368424197862E-3</v>
      </c>
      <c r="E406" s="37">
        <v>13.38</v>
      </c>
      <c r="F406" s="13">
        <v>24</v>
      </c>
      <c r="G406" s="13">
        <f t="shared" si="39"/>
        <v>1.7937219730941703</v>
      </c>
      <c r="H406" s="13">
        <f t="shared" si="40"/>
        <v>6.866971914654324E-3</v>
      </c>
    </row>
    <row r="407" spans="1:8" x14ac:dyDescent="0.25">
      <c r="A407" s="3" t="s">
        <v>361</v>
      </c>
      <c r="B407" s="10">
        <v>18618</v>
      </c>
      <c r="C407" s="23">
        <f t="shared" si="38"/>
        <v>4.9669669221025494E-3</v>
      </c>
      <c r="E407" s="37">
        <v>13.4</v>
      </c>
      <c r="F407" s="13">
        <v>26.37</v>
      </c>
      <c r="G407" s="13">
        <f t="shared" si="39"/>
        <v>1.9679104477611939</v>
      </c>
      <c r="H407" s="13">
        <f t="shared" si="40"/>
        <v>9.7745460996898677E-3</v>
      </c>
    </row>
    <row r="408" spans="1:8" x14ac:dyDescent="0.25">
      <c r="A408" s="3" t="s">
        <v>362</v>
      </c>
      <c r="B408" s="10">
        <v>34538</v>
      </c>
      <c r="C408" s="23">
        <f t="shared" si="38"/>
        <v>9.2141531612191345E-3</v>
      </c>
      <c r="E408" s="37">
        <v>4.24</v>
      </c>
      <c r="F408" s="13">
        <v>11.55</v>
      </c>
      <c r="G408" s="13">
        <f t="shared" si="39"/>
        <v>2.7240566037735849</v>
      </c>
      <c r="H408" s="13">
        <f t="shared" si="40"/>
        <v>2.5099874767000235E-2</v>
      </c>
    </row>
    <row r="409" spans="1:8" x14ac:dyDescent="0.25">
      <c r="A409" s="3" t="s">
        <v>363</v>
      </c>
      <c r="B409" s="10">
        <v>13552</v>
      </c>
      <c r="C409" s="23">
        <f t="shared" si="38"/>
        <v>3.6154439643535153E-3</v>
      </c>
      <c r="E409" s="37">
        <v>8.3699999999999992</v>
      </c>
      <c r="F409" s="13">
        <v>18.64</v>
      </c>
      <c r="G409" s="13">
        <f t="shared" si="39"/>
        <v>2.2270011947431305</v>
      </c>
      <c r="H409" s="13">
        <f t="shared" si="40"/>
        <v>8.0515980281421189E-3</v>
      </c>
    </row>
    <row r="410" spans="1:8" x14ac:dyDescent="0.25">
      <c r="A410" s="3" t="s">
        <v>364</v>
      </c>
      <c r="B410" s="10">
        <v>4089</v>
      </c>
      <c r="C410" s="23">
        <f t="shared" si="38"/>
        <v>1.0908759127982233E-3</v>
      </c>
      <c r="E410" s="37">
        <v>17.25</v>
      </c>
      <c r="F410" s="13">
        <v>38.28</v>
      </c>
      <c r="G410" s="13">
        <f t="shared" si="39"/>
        <v>2.2191304347826089</v>
      </c>
      <c r="H410" s="13">
        <f t="shared" si="40"/>
        <v>2.4207959386617966E-3</v>
      </c>
    </row>
    <row r="411" spans="1:8" x14ac:dyDescent="0.25">
      <c r="A411" s="3" t="s">
        <v>365</v>
      </c>
      <c r="B411" s="10">
        <v>9089</v>
      </c>
      <c r="C411" s="23">
        <f t="shared" si="38"/>
        <v>2.4247911889026786E-3</v>
      </c>
      <c r="E411" s="37">
        <v>12.34</v>
      </c>
      <c r="F411" s="13">
        <v>37.28</v>
      </c>
      <c r="G411" s="13">
        <f t="shared" si="39"/>
        <v>3.0210696920583469</v>
      </c>
      <c r="H411" s="13">
        <f t="shared" si="40"/>
        <v>7.3254631703640076E-3</v>
      </c>
    </row>
    <row r="412" spans="1:8" x14ac:dyDescent="0.25">
      <c r="A412" s="3" t="s">
        <v>366</v>
      </c>
      <c r="B412" s="10">
        <v>13796</v>
      </c>
      <c r="C412" s="23">
        <f t="shared" si="38"/>
        <v>3.6805390298274127E-3</v>
      </c>
      <c r="E412" s="37">
        <v>9.42</v>
      </c>
      <c r="F412" s="13">
        <v>19.420000000000002</v>
      </c>
      <c r="G412" s="13">
        <f t="shared" si="39"/>
        <v>2.061571125265393</v>
      </c>
      <c r="H412" s="13">
        <f t="shared" si="40"/>
        <v>7.5876929893044969E-3</v>
      </c>
    </row>
    <row r="413" spans="1:8" x14ac:dyDescent="0.25">
      <c r="A413" s="3" t="s">
        <v>367</v>
      </c>
      <c r="B413" s="10">
        <v>24173</v>
      </c>
      <c r="C413" s="23">
        <f t="shared" si="38"/>
        <v>6.4489467938545989E-3</v>
      </c>
      <c r="E413" s="37">
        <v>9.26</v>
      </c>
      <c r="F413" s="13">
        <v>21.81</v>
      </c>
      <c r="G413" s="13">
        <f t="shared" si="39"/>
        <v>2.3552915766738658</v>
      </c>
      <c r="H413" s="13">
        <f t="shared" si="40"/>
        <v>1.518915006198367E-2</v>
      </c>
    </row>
    <row r="414" spans="1:8" x14ac:dyDescent="0.25">
      <c r="A414" s="3" t="s">
        <v>368</v>
      </c>
      <c r="B414" s="10">
        <v>15331</v>
      </c>
      <c r="C414" s="23">
        <f t="shared" si="38"/>
        <v>4.0900510195914803E-3</v>
      </c>
      <c r="E414" s="37">
        <v>14.22</v>
      </c>
      <c r="F414" s="13">
        <v>33.18</v>
      </c>
      <c r="G414" s="13">
        <f t="shared" si="39"/>
        <v>2.333333333333333</v>
      </c>
      <c r="H414" s="13">
        <f t="shared" si="40"/>
        <v>9.5434523790467862E-3</v>
      </c>
    </row>
    <row r="415" spans="1:8" x14ac:dyDescent="0.25">
      <c r="A415" s="3" t="s">
        <v>369</v>
      </c>
      <c r="B415" s="10">
        <v>18221</v>
      </c>
      <c r="C415" s="23">
        <f t="shared" si="38"/>
        <v>4.8610540491798556E-3</v>
      </c>
      <c r="E415" s="37">
        <v>3.48</v>
      </c>
      <c r="F415" s="13">
        <v>9.5</v>
      </c>
      <c r="G415" s="13">
        <f t="shared" si="39"/>
        <v>2.7298850574712645</v>
      </c>
      <c r="H415" s="13">
        <f t="shared" si="40"/>
        <v>1.3270118812416274E-2</v>
      </c>
    </row>
    <row r="416" spans="1:8" x14ac:dyDescent="0.25">
      <c r="A416" s="3" t="s">
        <v>370</v>
      </c>
      <c r="B416" s="10">
        <v>6296</v>
      </c>
      <c r="C416" s="23">
        <f t="shared" si="38"/>
        <v>1.67966611567073E-3</v>
      </c>
      <c r="E416" s="37">
        <v>13.96</v>
      </c>
      <c r="F416" s="13">
        <v>30</v>
      </c>
      <c r="G416" s="13">
        <f t="shared" si="39"/>
        <v>2.1489971346704868</v>
      </c>
      <c r="H416" s="13">
        <f t="shared" si="40"/>
        <v>3.6095976697795053E-3</v>
      </c>
    </row>
    <row r="417" spans="1:8" x14ac:dyDescent="0.25">
      <c r="A417" s="3" t="s">
        <v>371</v>
      </c>
      <c r="B417" s="10">
        <v>28323</v>
      </c>
      <c r="C417" s="23">
        <f t="shared" si="38"/>
        <v>7.5560964730212966E-3</v>
      </c>
      <c r="E417" s="37">
        <v>11.64</v>
      </c>
      <c r="F417" s="13">
        <v>23.29</v>
      </c>
      <c r="G417" s="13">
        <f t="shared" si="39"/>
        <v>2.0008591065292096</v>
      </c>
      <c r="H417" s="13">
        <f t="shared" si="40"/>
        <v>1.5118684437857903E-2</v>
      </c>
    </row>
    <row r="418" spans="1:8" x14ac:dyDescent="0.25">
      <c r="A418" s="3" t="s">
        <v>372</v>
      </c>
      <c r="B418" s="10">
        <v>23538</v>
      </c>
      <c r="C418" s="23">
        <f t="shared" si="38"/>
        <v>6.2795395537893327E-3</v>
      </c>
      <c r="E418" s="37">
        <v>3.27</v>
      </c>
      <c r="F418" s="13">
        <v>10.58</v>
      </c>
      <c r="G418" s="13">
        <f t="shared" si="39"/>
        <v>3.2354740061162079</v>
      </c>
      <c r="H418" s="13">
        <f t="shared" si="40"/>
        <v>2.0317286996663957E-2</v>
      </c>
    </row>
    <row r="419" spans="1:8" x14ac:dyDescent="0.25">
      <c r="A419" s="3" t="s">
        <v>373</v>
      </c>
      <c r="B419" s="10">
        <v>81880</v>
      </c>
      <c r="C419" s="23">
        <f t="shared" si="38"/>
        <v>2.1844196561486558E-2</v>
      </c>
      <c r="E419" s="37">
        <v>6.44</v>
      </c>
      <c r="F419" s="13">
        <v>13.83</v>
      </c>
      <c r="G419" s="13">
        <f t="shared" si="39"/>
        <v>2.1475155279503104</v>
      </c>
      <c r="H419" s="13">
        <f t="shared" si="40"/>
        <v>4.6910751311391163E-2</v>
      </c>
    </row>
    <row r="420" spans="1:8" x14ac:dyDescent="0.25">
      <c r="A420" s="3" t="s">
        <v>374</v>
      </c>
      <c r="B420" s="10">
        <v>9998</v>
      </c>
      <c r="C420" s="23">
        <f t="shared" si="38"/>
        <v>2.6672969860984685E-3</v>
      </c>
      <c r="E420" s="37">
        <v>2.5299999999999998</v>
      </c>
      <c r="F420" s="13">
        <v>6.5</v>
      </c>
      <c r="G420" s="13">
        <f t="shared" si="39"/>
        <v>2.5691699604743086</v>
      </c>
      <c r="H420" s="13">
        <f t="shared" si="40"/>
        <v>6.8527392923478448E-3</v>
      </c>
    </row>
    <row r="421" spans="1:8" x14ac:dyDescent="0.25">
      <c r="A421" s="3" t="s">
        <v>375</v>
      </c>
      <c r="B421" s="10">
        <v>11220</v>
      </c>
      <c r="C421" s="23">
        <f t="shared" si="38"/>
        <v>2.9933058795783975E-3</v>
      </c>
      <c r="E421" s="37">
        <v>16.149999999999999</v>
      </c>
      <c r="F421" s="13">
        <v>48.76</v>
      </c>
      <c r="G421" s="13">
        <f t="shared" si="39"/>
        <v>3.0191950464396284</v>
      </c>
      <c r="H421" s="13">
        <f t="shared" si="40"/>
        <v>9.0373742841017117E-3</v>
      </c>
    </row>
    <row r="422" spans="1:8" x14ac:dyDescent="0.25">
      <c r="A422" s="3" t="s">
        <v>376</v>
      </c>
      <c r="B422" s="10">
        <v>11179</v>
      </c>
      <c r="C422" s="23">
        <f t="shared" si="38"/>
        <v>2.982367774314341E-3</v>
      </c>
      <c r="E422" s="37">
        <v>14.64</v>
      </c>
      <c r="F422" s="13">
        <v>32.22</v>
      </c>
      <c r="G422" s="13">
        <f t="shared" si="39"/>
        <v>2.2008196721311473</v>
      </c>
      <c r="H422" s="13">
        <f t="shared" si="40"/>
        <v>6.5636536672409873E-3</v>
      </c>
    </row>
    <row r="423" spans="1:8" x14ac:dyDescent="0.25">
      <c r="A423" s="3" t="s">
        <v>377</v>
      </c>
      <c r="B423" s="10">
        <f>13073+B439</f>
        <v>19598</v>
      </c>
      <c r="C423" s="23">
        <f t="shared" si="38"/>
        <v>5.2284143162190221E-3</v>
      </c>
      <c r="E423" s="37">
        <v>15.9</v>
      </c>
      <c r="F423" s="13">
        <v>35.299999999999997</v>
      </c>
      <c r="G423" s="13">
        <f t="shared" si="39"/>
        <v>2.2201257861635217</v>
      </c>
      <c r="H423" s="13">
        <f t="shared" si="40"/>
        <v>1.1607737444184368E-2</v>
      </c>
    </row>
    <row r="424" spans="1:8" x14ac:dyDescent="0.25">
      <c r="A424" s="3" t="s">
        <v>378</v>
      </c>
      <c r="B424" s="10">
        <v>11463</v>
      </c>
      <c r="C424" s="23">
        <f t="shared" si="38"/>
        <v>3.0581341619970739E-3</v>
      </c>
      <c r="E424" s="37">
        <v>9.01</v>
      </c>
      <c r="F424" s="13">
        <v>22.01</v>
      </c>
      <c r="G424" s="13">
        <f t="shared" si="39"/>
        <v>2.4428412874583798</v>
      </c>
      <c r="H424" s="13">
        <f t="shared" si="40"/>
        <v>7.4705363935133849E-3</v>
      </c>
    </row>
    <row r="425" spans="1:8" x14ac:dyDescent="0.25">
      <c r="A425" s="3" t="s">
        <v>379</v>
      </c>
      <c r="B425" s="10">
        <v>10848</v>
      </c>
      <c r="C425" s="23">
        <f t="shared" si="38"/>
        <v>2.8940625830362258E-3</v>
      </c>
      <c r="E425" s="37">
        <v>10.11</v>
      </c>
      <c r="F425" s="13">
        <v>23.44</v>
      </c>
      <c r="G425" s="13">
        <f t="shared" si="39"/>
        <v>2.3184965380811082</v>
      </c>
      <c r="H425" s="13">
        <f t="shared" si="40"/>
        <v>6.7098740797595594E-3</v>
      </c>
    </row>
    <row r="426" spans="1:8" x14ac:dyDescent="0.25">
      <c r="A426" s="3" t="s">
        <v>380</v>
      </c>
      <c r="B426" s="10">
        <v>8985</v>
      </c>
      <c r="C426" s="23">
        <f t="shared" si="38"/>
        <v>2.397045751159706E-3</v>
      </c>
      <c r="E426" s="37">
        <v>9.26</v>
      </c>
      <c r="F426" s="13">
        <v>23.04</v>
      </c>
      <c r="G426" s="13">
        <f t="shared" si="39"/>
        <v>2.4881209503239741</v>
      </c>
      <c r="H426" s="13">
        <f t="shared" si="40"/>
        <v>5.9641397523455325E-3</v>
      </c>
    </row>
    <row r="427" spans="1:8" x14ac:dyDescent="0.25">
      <c r="A427" s="3" t="s">
        <v>381</v>
      </c>
      <c r="B427" s="10">
        <v>14223</v>
      </c>
      <c r="C427" s="23">
        <f t="shared" si="38"/>
        <v>3.7944553944067334E-3</v>
      </c>
      <c r="E427" s="37">
        <v>10.95</v>
      </c>
      <c r="F427" s="13">
        <v>20.04</v>
      </c>
      <c r="G427" s="13">
        <f t="shared" si="39"/>
        <v>1.8301369863013699</v>
      </c>
      <c r="H427" s="13">
        <f t="shared" si="40"/>
        <v>6.9443731601745145E-3</v>
      </c>
    </row>
    <row r="428" spans="1:8" x14ac:dyDescent="0.25">
      <c r="A428" s="3" t="s">
        <v>382</v>
      </c>
      <c r="B428" s="10">
        <v>20410</v>
      </c>
      <c r="C428" s="23">
        <f t="shared" si="38"/>
        <v>5.445042157058386E-3</v>
      </c>
      <c r="E428" s="37">
        <v>10.039999999999999</v>
      </c>
      <c r="F428" s="13">
        <v>27.05</v>
      </c>
      <c r="G428" s="13">
        <f t="shared" si="39"/>
        <v>2.6942231075697216</v>
      </c>
      <c r="H428" s="13">
        <f t="shared" si="40"/>
        <v>1.4670158401237985E-2</v>
      </c>
    </row>
    <row r="429" spans="1:8" x14ac:dyDescent="0.25">
      <c r="A429" s="3" t="s">
        <v>383</v>
      </c>
      <c r="B429" s="10">
        <v>34509</v>
      </c>
      <c r="C429" s="23">
        <f t="shared" si="38"/>
        <v>9.2064164526177283E-3</v>
      </c>
      <c r="E429" s="37">
        <v>4.3600000000000003</v>
      </c>
      <c r="F429" s="13">
        <v>11.11</v>
      </c>
      <c r="G429" s="13">
        <f t="shared" si="39"/>
        <v>2.5481651376146788</v>
      </c>
      <c r="H429" s="13">
        <f t="shared" si="40"/>
        <v>2.3459469446922697E-2</v>
      </c>
    </row>
    <row r="430" spans="1:8" x14ac:dyDescent="0.25">
      <c r="A430" s="3" t="s">
        <v>384</v>
      </c>
      <c r="B430" s="10">
        <v>10044</v>
      </c>
      <c r="C430" s="23">
        <f t="shared" si="38"/>
        <v>2.6795690066386295E-3</v>
      </c>
      <c r="E430" s="37">
        <v>11.41</v>
      </c>
      <c r="F430" s="13">
        <v>20.39</v>
      </c>
      <c r="G430" s="13">
        <f t="shared" si="39"/>
        <v>1.7870289219982471</v>
      </c>
      <c r="H430" s="13">
        <f t="shared" si="40"/>
        <v>4.7884673133533435E-3</v>
      </c>
    </row>
    <row r="431" spans="1:8" x14ac:dyDescent="0.25">
      <c r="A431" s="3" t="s">
        <v>385</v>
      </c>
      <c r="B431" s="10">
        <v>24935</v>
      </c>
      <c r="C431" s="23">
        <f t="shared" si="38"/>
        <v>6.6522354819329183E-3</v>
      </c>
      <c r="E431" s="37">
        <v>3.48</v>
      </c>
      <c r="F431" s="13">
        <v>9.5500000000000007</v>
      </c>
      <c r="G431" s="13">
        <f t="shared" si="39"/>
        <v>2.7442528735632186</v>
      </c>
      <c r="H431" s="13">
        <f t="shared" si="40"/>
        <v>1.8255416336913612E-2</v>
      </c>
    </row>
    <row r="432" spans="1:8" x14ac:dyDescent="0.25">
      <c r="A432" s="3" t="s">
        <v>386</v>
      </c>
      <c r="B432" s="10">
        <v>16301</v>
      </c>
      <c r="C432" s="23">
        <f t="shared" si="38"/>
        <v>4.3488305831557448E-3</v>
      </c>
      <c r="E432" s="37">
        <v>12.17</v>
      </c>
      <c r="F432" s="13">
        <v>21.66</v>
      </c>
      <c r="G432" s="13">
        <f t="shared" si="39"/>
        <v>1.779786359901397</v>
      </c>
      <c r="H432" s="13">
        <f t="shared" si="40"/>
        <v>7.7399893534226324E-3</v>
      </c>
    </row>
    <row r="433" spans="1:8" x14ac:dyDescent="0.25">
      <c r="A433" s="3" t="s">
        <v>387</v>
      </c>
      <c r="B433" s="10">
        <v>13096</v>
      </c>
      <c r="C433" s="23">
        <f t="shared" si="38"/>
        <v>3.4937908911727889E-3</v>
      </c>
      <c r="E433" s="37">
        <v>11.68</v>
      </c>
      <c r="F433" s="13">
        <v>24.51</v>
      </c>
      <c r="G433" s="13">
        <f t="shared" si="39"/>
        <v>2.0984589041095894</v>
      </c>
      <c r="H433" s="13">
        <f t="shared" si="40"/>
        <v>7.3315766046785158E-3</v>
      </c>
    </row>
    <row r="434" spans="1:8" x14ac:dyDescent="0.25">
      <c r="A434" s="3" t="s">
        <v>388</v>
      </c>
      <c r="B434" s="10">
        <v>18547</v>
      </c>
      <c r="C434" s="23">
        <f t="shared" si="38"/>
        <v>4.9480253251818658E-3</v>
      </c>
      <c r="E434" s="37">
        <v>2.95</v>
      </c>
      <c r="F434" s="13">
        <v>5.27</v>
      </c>
      <c r="G434" s="13">
        <f t="shared" si="39"/>
        <v>1.7864406779661015</v>
      </c>
      <c r="H434" s="13">
        <f t="shared" si="40"/>
        <v>8.8393537165113324E-3</v>
      </c>
    </row>
    <row r="435" spans="1:8" x14ac:dyDescent="0.25">
      <c r="A435" s="3" t="s">
        <v>389</v>
      </c>
      <c r="B435" s="10">
        <v>9498</v>
      </c>
      <c r="C435" s="23">
        <f t="shared" si="38"/>
        <v>2.5339054584880231E-3</v>
      </c>
      <c r="E435" s="37">
        <v>7.06</v>
      </c>
      <c r="F435" s="13">
        <v>26.82</v>
      </c>
      <c r="G435" s="13">
        <f t="shared" si="39"/>
        <v>3.7988668555240794</v>
      </c>
      <c r="H435" s="13">
        <f t="shared" si="40"/>
        <v>9.6259694612816967E-3</v>
      </c>
    </row>
    <row r="436" spans="1:8" x14ac:dyDescent="0.25">
      <c r="A436" s="3" t="s">
        <v>390</v>
      </c>
      <c r="B436" s="10">
        <v>8889</v>
      </c>
      <c r="C436" s="23">
        <f t="shared" si="38"/>
        <v>2.3714345778585006E-3</v>
      </c>
      <c r="E436" s="37">
        <v>6.17</v>
      </c>
      <c r="F436" s="13">
        <v>10.34</v>
      </c>
      <c r="G436" s="13">
        <f t="shared" si="39"/>
        <v>1.6758508914100487</v>
      </c>
      <c r="H436" s="13">
        <f t="shared" si="40"/>
        <v>3.9741707512247811E-3</v>
      </c>
    </row>
    <row r="437" spans="1:8" x14ac:dyDescent="0.25">
      <c r="A437" s="3" t="s">
        <v>391</v>
      </c>
      <c r="B437" s="10">
        <v>28536</v>
      </c>
      <c r="C437" s="23">
        <f t="shared" si="38"/>
        <v>7.6129212637833467E-3</v>
      </c>
      <c r="E437" s="37">
        <v>4.6500000000000004</v>
      </c>
      <c r="F437" s="13">
        <v>7.03</v>
      </c>
      <c r="G437" s="13">
        <f t="shared" si="39"/>
        <v>1.5118279569892472</v>
      </c>
      <c r="H437" s="13">
        <f t="shared" si="40"/>
        <v>1.1509427200945575E-2</v>
      </c>
    </row>
    <row r="438" spans="1:8" x14ac:dyDescent="0.25">
      <c r="A438" s="3" t="s">
        <v>392</v>
      </c>
      <c r="B438" s="10">
        <v>9110</v>
      </c>
      <c r="C438" s="23">
        <f t="shared" si="38"/>
        <v>2.4303936330623173E-3</v>
      </c>
      <c r="E438" s="37">
        <v>10.6</v>
      </c>
      <c r="F438" s="13">
        <v>25.6</v>
      </c>
      <c r="G438" s="13">
        <f t="shared" si="39"/>
        <v>2.4150943396226419</v>
      </c>
      <c r="H438" s="13">
        <f t="shared" si="40"/>
        <v>5.8696299062637102E-3</v>
      </c>
    </row>
    <row r="439" spans="1:8" x14ac:dyDescent="0.25">
      <c r="A439" s="33" t="s">
        <v>393</v>
      </c>
      <c r="B439" s="34">
        <f>6525</f>
        <v>6525</v>
      </c>
      <c r="C439" s="23"/>
      <c r="E439" s="37"/>
      <c r="F439" s="13"/>
      <c r="G439" s="13"/>
      <c r="H439" s="13">
        <f>G439*C439</f>
        <v>0</v>
      </c>
    </row>
    <row r="440" spans="1:8" x14ac:dyDescent="0.25">
      <c r="A440" s="3" t="s">
        <v>394</v>
      </c>
      <c r="B440" s="10">
        <v>11767</v>
      </c>
      <c r="C440" s="23">
        <f t="shared" si="38"/>
        <v>3.1392362107842248E-3</v>
      </c>
      <c r="E440" s="37">
        <v>10.050000000000001</v>
      </c>
      <c r="F440" s="13">
        <v>24.21</v>
      </c>
      <c r="G440" s="13">
        <f t="shared" si="39"/>
        <v>2.4089552238805969</v>
      </c>
      <c r="H440" s="13">
        <f t="shared" si="40"/>
        <v>7.5622794689637887E-3</v>
      </c>
    </row>
    <row r="441" spans="1:8" x14ac:dyDescent="0.25">
      <c r="A441" s="3" t="s">
        <v>395</v>
      </c>
      <c r="B441" s="10">
        <v>14969</v>
      </c>
      <c r="C441" s="23">
        <f>B441/B$493</f>
        <v>3.9934755536015177E-3</v>
      </c>
      <c r="E441" s="37">
        <v>11.81</v>
      </c>
      <c r="F441" s="13">
        <v>26.42</v>
      </c>
      <c r="G441" s="13">
        <f t="shared" si="39"/>
        <v>2.2370872142252329</v>
      </c>
      <c r="H441" s="13">
        <f t="shared" si="40"/>
        <v>8.9337531012829898E-3</v>
      </c>
    </row>
    <row r="442" spans="1:8" x14ac:dyDescent="0.25">
      <c r="A442" s="3" t="s">
        <v>396</v>
      </c>
      <c r="B442" s="10">
        <v>11355</v>
      </c>
      <c r="C442" s="23">
        <f>B442/B$493</f>
        <v>3.0293215920332178E-3</v>
      </c>
      <c r="E442" s="37">
        <v>12.29</v>
      </c>
      <c r="F442" s="13">
        <v>34.729999999999997</v>
      </c>
      <c r="G442" s="13">
        <f t="shared" si="39"/>
        <v>2.8258746948738813</v>
      </c>
      <c r="H442" s="13">
        <f t="shared" si="40"/>
        <v>8.5604832295617297E-3</v>
      </c>
    </row>
    <row r="443" spans="1:8" x14ac:dyDescent="0.25">
      <c r="A443" s="3" t="s">
        <v>397</v>
      </c>
      <c r="B443" s="10">
        <v>10588</v>
      </c>
      <c r="C443" s="23">
        <f>B443/B$493</f>
        <v>2.8246989886787943E-3</v>
      </c>
      <c r="E443" s="37">
        <v>11.21</v>
      </c>
      <c r="F443" s="13">
        <v>29.6</v>
      </c>
      <c r="G443" s="13">
        <f t="shared" si="39"/>
        <v>2.6404995539696698</v>
      </c>
      <c r="H443" s="13">
        <f t="shared" si="40"/>
        <v>7.4586164197049335E-3</v>
      </c>
    </row>
    <row r="444" spans="1:8" x14ac:dyDescent="0.25">
      <c r="A444" s="3" t="s">
        <v>398</v>
      </c>
      <c r="B444" s="10">
        <v>19304</v>
      </c>
      <c r="C444" s="23">
        <f>B444/B$493</f>
        <v>5.1499800979840802E-3</v>
      </c>
      <c r="E444" s="37">
        <v>17.260000000000002</v>
      </c>
      <c r="F444" s="13">
        <v>41.49</v>
      </c>
      <c r="G444" s="13">
        <f t="shared" si="39"/>
        <v>2.4038238702201622</v>
      </c>
      <c r="H444" s="13">
        <f t="shared" si="40"/>
        <v>1.2379645090692903E-2</v>
      </c>
    </row>
    <row r="445" spans="1:8" x14ac:dyDescent="0.25">
      <c r="A445" s="3" t="s">
        <v>399</v>
      </c>
      <c r="B445" s="10">
        <v>32336</v>
      </c>
      <c r="C445" s="23">
        <f t="shared" ref="C445:C491" si="41">B445/B$493</f>
        <v>8.6266968736227329E-3</v>
      </c>
      <c r="E445" s="37">
        <v>4.07</v>
      </c>
      <c r="F445" s="13">
        <v>9.1999999999999993</v>
      </c>
      <c r="G445" s="13">
        <f t="shared" si="39"/>
        <v>2.26044226044226</v>
      </c>
      <c r="H445" s="13">
        <f t="shared" si="40"/>
        <v>1.9500150181161947E-2</v>
      </c>
    </row>
    <row r="446" spans="1:8" x14ac:dyDescent="0.25">
      <c r="A446" s="3" t="s">
        <v>400</v>
      </c>
      <c r="B446" s="10">
        <v>11855</v>
      </c>
      <c r="C446" s="23">
        <f t="shared" si="41"/>
        <v>3.1627131196436632E-3</v>
      </c>
      <c r="E446" s="37">
        <v>18.04</v>
      </c>
      <c r="F446" s="13">
        <v>30.6</v>
      </c>
      <c r="G446" s="13">
        <f t="shared" si="39"/>
        <v>1.6962305986696231</v>
      </c>
      <c r="H446" s="13">
        <f t="shared" si="40"/>
        <v>5.3646907683534426E-3</v>
      </c>
    </row>
    <row r="447" spans="1:8" x14ac:dyDescent="0.25">
      <c r="A447" s="3" t="s">
        <v>401</v>
      </c>
      <c r="B447" s="10">
        <v>19469</v>
      </c>
      <c r="C447" s="23">
        <f t="shared" si="41"/>
        <v>5.1939993020955278E-3</v>
      </c>
      <c r="E447" s="37">
        <v>4.9400000000000004</v>
      </c>
      <c r="F447" s="13">
        <v>12.81</v>
      </c>
      <c r="G447" s="13">
        <f t="shared" si="39"/>
        <v>2.5931174089068825</v>
      </c>
      <c r="H447" s="13">
        <f t="shared" si="40"/>
        <v>1.346865001211411E-2</v>
      </c>
    </row>
    <row r="448" spans="1:8" x14ac:dyDescent="0.25">
      <c r="A448" s="3" t="s">
        <v>402</v>
      </c>
      <c r="B448" s="10">
        <v>14553</v>
      </c>
      <c r="C448" s="23">
        <f t="shared" si="41"/>
        <v>3.8824938026296271E-3</v>
      </c>
      <c r="E448" s="37">
        <v>14.01</v>
      </c>
      <c r="F448" s="13">
        <v>22.74</v>
      </c>
      <c r="G448" s="13">
        <f t="shared" si="39"/>
        <v>1.6231263383297643</v>
      </c>
      <c r="H448" s="13">
        <f t="shared" si="40"/>
        <v>6.3017779494502291E-3</v>
      </c>
    </row>
    <row r="449" spans="1:8" x14ac:dyDescent="0.25">
      <c r="A449" s="3" t="s">
        <v>403</v>
      </c>
      <c r="B449" s="10">
        <v>17317</v>
      </c>
      <c r="C449" s="23">
        <f t="shared" si="41"/>
        <v>4.6198821672601698E-3</v>
      </c>
      <c r="E449" s="37">
        <v>16.63</v>
      </c>
      <c r="F449" s="13">
        <v>29.89</v>
      </c>
      <c r="G449" s="13">
        <f t="shared" si="39"/>
        <v>1.7973541791942274</v>
      </c>
      <c r="H449" s="13">
        <f t="shared" si="40"/>
        <v>8.3035645207099502E-3</v>
      </c>
    </row>
    <row r="450" spans="1:8" x14ac:dyDescent="0.25">
      <c r="A450" s="3" t="s">
        <v>404</v>
      </c>
      <c r="B450" s="10">
        <v>13539</v>
      </c>
      <c r="C450" s="23">
        <f t="shared" si="41"/>
        <v>3.6119757846356437E-3</v>
      </c>
      <c r="E450" s="37">
        <v>2.72</v>
      </c>
      <c r="F450" s="13">
        <v>6.27</v>
      </c>
      <c r="G450" s="13">
        <f t="shared" ref="G450:G492" si="42">F450/E450</f>
        <v>2.305147058823529</v>
      </c>
      <c r="H450" s="13">
        <f t="shared" si="40"/>
        <v>8.326135356494662E-3</v>
      </c>
    </row>
    <row r="451" spans="1:8" x14ac:dyDescent="0.25">
      <c r="A451" s="3" t="s">
        <v>405</v>
      </c>
      <c r="B451" s="10">
        <v>8537</v>
      </c>
      <c r="C451" s="23">
        <f t="shared" si="41"/>
        <v>2.2775269424207467E-3</v>
      </c>
      <c r="E451" s="37">
        <v>17.71</v>
      </c>
      <c r="F451" s="13">
        <v>31.09</v>
      </c>
      <c r="G451" s="13">
        <f t="shared" si="42"/>
        <v>1.7555053642010163</v>
      </c>
      <c r="H451" s="13">
        <f t="shared" si="40"/>
        <v>3.9982107645319597E-3</v>
      </c>
    </row>
    <row r="452" spans="1:8" x14ac:dyDescent="0.25">
      <c r="A452" s="3" t="s">
        <v>406</v>
      </c>
      <c r="B452" s="10">
        <v>6756</v>
      </c>
      <c r="C452" s="23">
        <f t="shared" si="41"/>
        <v>1.8023863210723397E-3</v>
      </c>
      <c r="E452" s="37">
        <v>8.09</v>
      </c>
      <c r="F452" s="13">
        <v>26.5</v>
      </c>
      <c r="G452" s="13">
        <f t="shared" si="42"/>
        <v>3.2756489493201486</v>
      </c>
      <c r="H452" s="13">
        <f t="shared" si="40"/>
        <v>5.9039848588896176E-3</v>
      </c>
    </row>
    <row r="453" spans="1:8" x14ac:dyDescent="0.25">
      <c r="A453" s="3" t="s">
        <v>407</v>
      </c>
      <c r="B453" s="10">
        <v>15253</v>
      </c>
      <c r="C453" s="23">
        <f t="shared" si="41"/>
        <v>4.0692419412842505E-3</v>
      </c>
      <c r="E453" s="37">
        <v>20.36</v>
      </c>
      <c r="F453" s="13">
        <v>41.14</v>
      </c>
      <c r="G453" s="13">
        <f t="shared" si="42"/>
        <v>2.0206286836935168</v>
      </c>
      <c r="H453" s="13">
        <f t="shared" si="40"/>
        <v>8.2224269874476459E-3</v>
      </c>
    </row>
    <row r="454" spans="1:8" x14ac:dyDescent="0.25">
      <c r="A454" s="3" t="s">
        <v>408</v>
      </c>
      <c r="B454" s="10">
        <v>20871</v>
      </c>
      <c r="C454" s="23">
        <f t="shared" si="41"/>
        <v>5.5680291455152166E-3</v>
      </c>
      <c r="E454" s="37">
        <v>7.27</v>
      </c>
      <c r="F454" s="13">
        <v>17.8</v>
      </c>
      <c r="G454" s="13">
        <f t="shared" si="42"/>
        <v>2.4484181568088035</v>
      </c>
      <c r="H454" s="13">
        <f t="shared" ref="H454:H492" si="43">G454*C454</f>
        <v>1.3632863657520063E-2</v>
      </c>
    </row>
    <row r="455" spans="1:8" x14ac:dyDescent="0.25">
      <c r="A455" s="3" t="s">
        <v>409</v>
      </c>
      <c r="B455" s="10">
        <v>3894</v>
      </c>
      <c r="C455" s="23">
        <f t="shared" si="41"/>
        <v>1.0388532170301497E-3</v>
      </c>
      <c r="E455" s="37">
        <v>15.86</v>
      </c>
      <c r="F455" s="13">
        <v>37.69</v>
      </c>
      <c r="G455" s="13">
        <f t="shared" si="42"/>
        <v>2.3764186633039093</v>
      </c>
      <c r="H455" s="13">
        <f t="shared" si="43"/>
        <v>2.4687501733837544E-3</v>
      </c>
    </row>
    <row r="456" spans="1:8" x14ac:dyDescent="0.25">
      <c r="A456" s="3" t="s">
        <v>410</v>
      </c>
      <c r="B456" s="10">
        <v>13891</v>
      </c>
      <c r="C456" s="23">
        <f t="shared" si="41"/>
        <v>3.7058834200733972E-3</v>
      </c>
      <c r="E456" s="37">
        <v>14.94</v>
      </c>
      <c r="F456" s="13">
        <v>30.25</v>
      </c>
      <c r="G456" s="13">
        <f t="shared" si="42"/>
        <v>2.0247657295850066</v>
      </c>
      <c r="H456" s="13">
        <f t="shared" si="43"/>
        <v>7.5035457468018915E-3</v>
      </c>
    </row>
    <row r="457" spans="1:8" x14ac:dyDescent="0.25">
      <c r="A457" s="3" t="s">
        <v>411</v>
      </c>
      <c r="B457" s="10">
        <v>9722</v>
      </c>
      <c r="C457" s="23">
        <f t="shared" si="41"/>
        <v>2.5936648628575028E-3</v>
      </c>
      <c r="E457" s="37">
        <v>15.55</v>
      </c>
      <c r="F457" s="13">
        <v>38.26</v>
      </c>
      <c r="G457" s="13">
        <f t="shared" si="42"/>
        <v>2.4604501607717038</v>
      </c>
      <c r="H457" s="13">
        <f t="shared" si="43"/>
        <v>6.381583128805662E-3</v>
      </c>
    </row>
    <row r="458" spans="1:8" x14ac:dyDescent="0.25">
      <c r="A458" s="3" t="s">
        <v>412</v>
      </c>
      <c r="B458" s="10">
        <v>15719</v>
      </c>
      <c r="C458" s="23">
        <f t="shared" si="41"/>
        <v>4.1935628450171861E-3</v>
      </c>
      <c r="E458" s="37">
        <v>17.02</v>
      </c>
      <c r="F458" s="13">
        <v>41.78</v>
      </c>
      <c r="G458" s="13">
        <f t="shared" si="42"/>
        <v>2.4547591069330199</v>
      </c>
      <c r="H458" s="13">
        <f t="shared" si="43"/>
        <v>1.0294186584301881E-2</v>
      </c>
    </row>
    <row r="459" spans="1:8" x14ac:dyDescent="0.25">
      <c r="A459" s="3" t="s">
        <v>413</v>
      </c>
      <c r="B459" s="10">
        <v>40919</v>
      </c>
      <c r="C459" s="23">
        <f t="shared" si="41"/>
        <v>1.0916495836583641E-2</v>
      </c>
      <c r="E459" s="37">
        <v>3.09</v>
      </c>
      <c r="F459" s="13">
        <v>10.68</v>
      </c>
      <c r="G459" s="13">
        <f t="shared" si="42"/>
        <v>3.4563106796116507</v>
      </c>
      <c r="H459" s="13">
        <f t="shared" si="43"/>
        <v>3.7730801143920162E-2</v>
      </c>
    </row>
    <row r="460" spans="1:8" x14ac:dyDescent="0.25">
      <c r="A460" s="3" t="s">
        <v>414</v>
      </c>
      <c r="B460" s="10">
        <v>11290</v>
      </c>
      <c r="C460" s="23">
        <f t="shared" si="41"/>
        <v>3.0119806934438597E-3</v>
      </c>
      <c r="E460" s="37">
        <v>19.52</v>
      </c>
      <c r="F460" s="13">
        <v>32.42</v>
      </c>
      <c r="G460" s="13">
        <f t="shared" si="42"/>
        <v>1.660860655737705</v>
      </c>
      <c r="H460" s="13">
        <f t="shared" si="43"/>
        <v>5.0024802295824764E-3</v>
      </c>
    </row>
    <row r="461" spans="1:8" x14ac:dyDescent="0.25">
      <c r="A461" s="3" t="s">
        <v>415</v>
      </c>
      <c r="B461" s="10">
        <v>12344</v>
      </c>
      <c r="C461" s="23">
        <f t="shared" si="41"/>
        <v>3.293170033646679E-3</v>
      </c>
      <c r="E461" s="37">
        <v>11.58</v>
      </c>
      <c r="F461" s="13">
        <v>29.53</v>
      </c>
      <c r="G461" s="13">
        <f t="shared" si="42"/>
        <v>2.5500863557858375</v>
      </c>
      <c r="H461" s="13">
        <f t="shared" si="43"/>
        <v>8.3978679700851839E-3</v>
      </c>
    </row>
    <row r="462" spans="1:8" x14ac:dyDescent="0.25">
      <c r="A462" s="3" t="s">
        <v>416</v>
      </c>
      <c r="B462" s="10">
        <v>48353</v>
      </c>
      <c r="C462" s="23">
        <f t="shared" si="41"/>
        <v>1.2899761069095744E-2</v>
      </c>
      <c r="E462" s="37">
        <v>6.11</v>
      </c>
      <c r="F462" s="13">
        <v>11.64</v>
      </c>
      <c r="G462" s="13">
        <f t="shared" si="42"/>
        <v>1.9050736497545009</v>
      </c>
      <c r="H462" s="13">
        <f t="shared" si="43"/>
        <v>2.4574994900863251E-2</v>
      </c>
    </row>
    <row r="463" spans="1:8" x14ac:dyDescent="0.25">
      <c r="A463" s="3" t="s">
        <v>417</v>
      </c>
      <c r="B463" s="10">
        <v>10022</v>
      </c>
      <c r="C463" s="23">
        <f t="shared" si="41"/>
        <v>2.6736997794237698E-3</v>
      </c>
      <c r="E463" s="37">
        <v>10.44</v>
      </c>
      <c r="F463" s="13">
        <v>22.15</v>
      </c>
      <c r="G463" s="13">
        <f t="shared" si="42"/>
        <v>2.1216475095785441</v>
      </c>
      <c r="H463" s="13">
        <f t="shared" si="43"/>
        <v>5.6726484783751439E-3</v>
      </c>
    </row>
    <row r="464" spans="1:8" x14ac:dyDescent="0.25">
      <c r="A464" s="3" t="s">
        <v>418</v>
      </c>
      <c r="B464" s="10">
        <v>13434</v>
      </c>
      <c r="C464" s="23">
        <f t="shared" si="41"/>
        <v>3.5839635638374502E-3</v>
      </c>
      <c r="E464" s="37">
        <v>15.93</v>
      </c>
      <c r="F464" s="13">
        <v>27.98</v>
      </c>
      <c r="G464" s="13">
        <f t="shared" si="42"/>
        <v>1.7564344005021972</v>
      </c>
      <c r="H464" s="13">
        <f t="shared" si="43"/>
        <v>6.2949968936705496E-3</v>
      </c>
    </row>
    <row r="465" spans="1:8" x14ac:dyDescent="0.25">
      <c r="A465" s="3" t="s">
        <v>419</v>
      </c>
      <c r="B465" s="10">
        <v>23196</v>
      </c>
      <c r="C465" s="23">
        <f t="shared" si="41"/>
        <v>6.1882997489037883E-3</v>
      </c>
      <c r="E465" s="37">
        <v>17.510000000000002</v>
      </c>
      <c r="F465" s="13">
        <v>33.409999999999997</v>
      </c>
      <c r="G465" s="13">
        <f t="shared" si="42"/>
        <v>1.9080525414049112</v>
      </c>
      <c r="H465" s="13">
        <f t="shared" si="43"/>
        <v>1.1807601062871247E-2</v>
      </c>
    </row>
    <row r="466" spans="1:8" x14ac:dyDescent="0.25">
      <c r="A466" s="3" t="s">
        <v>420</v>
      </c>
      <c r="B466" s="10">
        <v>14026</v>
      </c>
      <c r="C466" s="23">
        <f t="shared" si="41"/>
        <v>3.7418991325282175E-3</v>
      </c>
      <c r="E466" s="37">
        <v>9.6199999999999992</v>
      </c>
      <c r="F466" s="13">
        <v>26.32</v>
      </c>
      <c r="G466" s="13">
        <f t="shared" si="42"/>
        <v>2.7359667359667363</v>
      </c>
      <c r="H466" s="13">
        <f t="shared" si="43"/>
        <v>1.0237711555939989E-2</v>
      </c>
    </row>
    <row r="467" spans="1:8" x14ac:dyDescent="0.25">
      <c r="A467" s="3" t="s">
        <v>421</v>
      </c>
      <c r="B467" s="10">
        <v>10200</v>
      </c>
      <c r="C467" s="23">
        <f t="shared" si="41"/>
        <v>2.7211871632530885E-3</v>
      </c>
      <c r="E467" s="37">
        <v>10.78</v>
      </c>
      <c r="F467" s="13">
        <v>29.75</v>
      </c>
      <c r="G467" s="13">
        <f t="shared" si="42"/>
        <v>2.7597402597402598</v>
      </c>
      <c r="H467" s="13">
        <f t="shared" si="43"/>
        <v>7.5097697687179395E-3</v>
      </c>
    </row>
    <row r="468" spans="1:8" x14ac:dyDescent="0.25">
      <c r="A468" s="3" t="s">
        <v>422</v>
      </c>
      <c r="B468" s="10">
        <v>7368</v>
      </c>
      <c r="C468" s="23">
        <f t="shared" si="41"/>
        <v>1.9656575508675252E-3</v>
      </c>
      <c r="E468" s="37">
        <v>19.98</v>
      </c>
      <c r="F468" s="13">
        <v>39.72</v>
      </c>
      <c r="G468" s="13">
        <f t="shared" si="42"/>
        <v>1.9879879879879878</v>
      </c>
      <c r="H468" s="13">
        <f t="shared" si="43"/>
        <v>3.9077035996225272E-3</v>
      </c>
    </row>
    <row r="469" spans="1:8" x14ac:dyDescent="0.25">
      <c r="A469" s="3" t="s">
        <v>423</v>
      </c>
      <c r="B469" s="10">
        <v>19154</v>
      </c>
      <c r="C469" s="23">
        <f t="shared" si="41"/>
        <v>5.1099626397009467E-3</v>
      </c>
      <c r="E469" s="37">
        <v>15.18</v>
      </c>
      <c r="F469" s="13">
        <v>30</v>
      </c>
      <c r="G469" s="13">
        <f t="shared" si="42"/>
        <v>1.9762845849802373</v>
      </c>
      <c r="H469" s="13">
        <f t="shared" si="43"/>
        <v>1.0098740394665903E-2</v>
      </c>
    </row>
    <row r="470" spans="1:8" x14ac:dyDescent="0.25">
      <c r="A470" s="3" t="s">
        <v>424</v>
      </c>
      <c r="B470" s="10">
        <v>40810</v>
      </c>
      <c r="C470" s="23">
        <f t="shared" si="41"/>
        <v>1.0887416483564564E-2</v>
      </c>
      <c r="E470" s="37">
        <v>3.48</v>
      </c>
      <c r="F470" s="13">
        <v>15.25</v>
      </c>
      <c r="G470" s="13">
        <f t="shared" si="42"/>
        <v>4.3821839080459775</v>
      </c>
      <c r="H470" s="13">
        <f t="shared" si="43"/>
        <v>4.7710661314471152E-2</v>
      </c>
    </row>
    <row r="471" spans="1:8" x14ac:dyDescent="0.25">
      <c r="A471" s="3" t="s">
        <v>425</v>
      </c>
      <c r="B471" s="10">
        <v>22450</v>
      </c>
      <c r="C471" s="23">
        <f t="shared" si="41"/>
        <v>5.989279589709004E-3</v>
      </c>
      <c r="E471" s="37">
        <v>10.91</v>
      </c>
      <c r="F471" s="13">
        <v>23.53</v>
      </c>
      <c r="G471" s="13">
        <f t="shared" si="42"/>
        <v>2.1567369385884509</v>
      </c>
      <c r="H471" s="13">
        <f t="shared" si="43"/>
        <v>1.291730052665929E-2</v>
      </c>
    </row>
    <row r="472" spans="1:8" x14ac:dyDescent="0.25">
      <c r="A472" s="3" t="s">
        <v>426</v>
      </c>
      <c r="B472" s="10">
        <v>13836</v>
      </c>
      <c r="C472" s="23">
        <f t="shared" si="41"/>
        <v>3.6912103520362481E-3</v>
      </c>
      <c r="E472" s="37">
        <v>7.55</v>
      </c>
      <c r="F472" s="13">
        <v>30.51</v>
      </c>
      <c r="G472" s="13">
        <f t="shared" si="42"/>
        <v>4.0410596026490069</v>
      </c>
      <c r="H472" s="13">
        <f t="shared" si="43"/>
        <v>1.4916401038493501E-2</v>
      </c>
    </row>
    <row r="473" spans="1:8" x14ac:dyDescent="0.25">
      <c r="A473" s="3" t="s">
        <v>427</v>
      </c>
      <c r="B473" s="10">
        <v>42449</v>
      </c>
      <c r="C473" s="23">
        <f t="shared" si="41"/>
        <v>1.1324673911071604E-2</v>
      </c>
      <c r="E473" s="37">
        <v>7.27</v>
      </c>
      <c r="F473" s="13">
        <v>23.63</v>
      </c>
      <c r="G473" s="13">
        <f t="shared" si="42"/>
        <v>3.2503438789546082</v>
      </c>
      <c r="H473" s="13">
        <f t="shared" si="43"/>
        <v>3.6809084528008532E-2</v>
      </c>
    </row>
    <row r="474" spans="1:8" x14ac:dyDescent="0.25">
      <c r="A474" s="3" t="s">
        <v>428</v>
      </c>
      <c r="B474" s="10">
        <v>11523</v>
      </c>
      <c r="C474" s="23">
        <f t="shared" si="41"/>
        <v>3.0741411453103274E-3</v>
      </c>
      <c r="E474" s="37">
        <v>6.61</v>
      </c>
      <c r="F474" s="13">
        <v>19.23</v>
      </c>
      <c r="G474" s="13">
        <f t="shared" si="42"/>
        <v>2.9092284417549168</v>
      </c>
      <c r="H474" s="13">
        <f t="shared" si="43"/>
        <v>8.9433788539058385E-3</v>
      </c>
    </row>
    <row r="475" spans="1:8" x14ac:dyDescent="0.25">
      <c r="A475" s="3" t="s">
        <v>429</v>
      </c>
      <c r="B475" s="10">
        <v>36295</v>
      </c>
      <c r="C475" s="23">
        <f t="shared" si="41"/>
        <v>9.6828909892422398E-3</v>
      </c>
      <c r="E475" s="37">
        <v>4.59</v>
      </c>
      <c r="F475" s="13">
        <v>15.29</v>
      </c>
      <c r="G475" s="13">
        <f t="shared" si="42"/>
        <v>3.3311546840958606</v>
      </c>
      <c r="H475" s="13">
        <f t="shared" si="43"/>
        <v>3.2255207674403888E-2</v>
      </c>
    </row>
    <row r="476" spans="1:8" x14ac:dyDescent="0.25">
      <c r="A476" s="3" t="s">
        <v>430</v>
      </c>
      <c r="B476" s="10">
        <v>13143</v>
      </c>
      <c r="C476" s="23">
        <f t="shared" si="41"/>
        <v>3.5063296947681708E-3</v>
      </c>
      <c r="E476" s="37">
        <v>10.58</v>
      </c>
      <c r="F476" s="13">
        <v>28.24</v>
      </c>
      <c r="G476" s="13">
        <f t="shared" si="42"/>
        <v>2.6691871455576557</v>
      </c>
      <c r="H476" s="13">
        <f t="shared" si="43"/>
        <v>9.3590501493622993E-3</v>
      </c>
    </row>
    <row r="477" spans="1:8" x14ac:dyDescent="0.25">
      <c r="A477" s="3" t="s">
        <v>431</v>
      </c>
      <c r="B477" s="10">
        <v>15608</v>
      </c>
      <c r="C477" s="23">
        <f t="shared" si="41"/>
        <v>4.163949925887667E-3</v>
      </c>
      <c r="E477" s="37">
        <v>14.68</v>
      </c>
      <c r="F477" s="13">
        <v>43.36</v>
      </c>
      <c r="G477" s="13">
        <f t="shared" si="42"/>
        <v>2.9536784741144415</v>
      </c>
      <c r="H477" s="13">
        <f t="shared" si="43"/>
        <v>1.2298969263384826E-2</v>
      </c>
    </row>
    <row r="478" spans="1:8" x14ac:dyDescent="0.25">
      <c r="A478" s="3" t="s">
        <v>432</v>
      </c>
      <c r="B478" s="10">
        <v>12153</v>
      </c>
      <c r="C478" s="23">
        <f t="shared" si="41"/>
        <v>3.2422144700994886E-3</v>
      </c>
      <c r="E478" s="37">
        <v>12.45</v>
      </c>
      <c r="F478" s="13">
        <v>39.42</v>
      </c>
      <c r="G478" s="13">
        <f t="shared" si="42"/>
        <v>3.1662650602409643</v>
      </c>
      <c r="H478" s="13">
        <f t="shared" si="43"/>
        <v>1.0265710394483684E-2</v>
      </c>
    </row>
    <row r="479" spans="1:8" x14ac:dyDescent="0.25">
      <c r="A479" s="3" t="s">
        <v>433</v>
      </c>
      <c r="B479" s="10">
        <v>11287</v>
      </c>
      <c r="C479" s="23">
        <f t="shared" si="41"/>
        <v>3.0111803442781971E-3</v>
      </c>
      <c r="E479" s="37">
        <v>7.62</v>
      </c>
      <c r="F479" s="13">
        <v>23.41</v>
      </c>
      <c r="G479" s="13">
        <f t="shared" si="42"/>
        <v>3.0721784776902887</v>
      </c>
      <c r="H479" s="13">
        <f t="shared" si="43"/>
        <v>9.2508834461355119E-3</v>
      </c>
    </row>
    <row r="480" spans="1:8" x14ac:dyDescent="0.25">
      <c r="A480" s="3" t="s">
        <v>434</v>
      </c>
      <c r="B480" s="10">
        <v>14653</v>
      </c>
      <c r="C480" s="23">
        <f t="shared" si="41"/>
        <v>3.9091721081517166E-3</v>
      </c>
      <c r="E480" s="37">
        <v>19.41</v>
      </c>
      <c r="F480" s="13">
        <v>40.25</v>
      </c>
      <c r="G480" s="13">
        <f t="shared" si="42"/>
        <v>2.0736733642452343</v>
      </c>
      <c r="H480" s="13">
        <f t="shared" si="43"/>
        <v>8.1063460769246042E-3</v>
      </c>
    </row>
    <row r="481" spans="1:8" x14ac:dyDescent="0.25">
      <c r="A481" s="3" t="s">
        <v>435</v>
      </c>
      <c r="B481" s="10">
        <v>27683</v>
      </c>
      <c r="C481" s="23">
        <f t="shared" si="41"/>
        <v>7.3853553176799263E-3</v>
      </c>
      <c r="E481" s="37">
        <v>15.73</v>
      </c>
      <c r="F481" s="13">
        <v>38.659999999999997</v>
      </c>
      <c r="G481" s="13">
        <f t="shared" si="42"/>
        <v>2.4577240940877303</v>
      </c>
      <c r="H481" s="13">
        <f t="shared" si="43"/>
        <v>1.8151165707660899E-2</v>
      </c>
    </row>
    <row r="482" spans="1:8" x14ac:dyDescent="0.25">
      <c r="A482" s="3" t="s">
        <v>436</v>
      </c>
      <c r="B482" s="10">
        <v>10956</v>
      </c>
      <c r="C482" s="23">
        <f t="shared" si="41"/>
        <v>2.9228751530000823E-3</v>
      </c>
      <c r="E482" s="37">
        <v>9.07</v>
      </c>
      <c r="F482" s="13">
        <v>28.38</v>
      </c>
      <c r="G482" s="13">
        <f t="shared" si="42"/>
        <v>3.1289966923925023</v>
      </c>
      <c r="H482" s="13">
        <f t="shared" si="43"/>
        <v>9.1456666860134875E-3</v>
      </c>
    </row>
    <row r="483" spans="1:8" x14ac:dyDescent="0.25">
      <c r="A483" s="3" t="s">
        <v>437</v>
      </c>
      <c r="B483" s="10">
        <v>9694</v>
      </c>
      <c r="C483" s="23">
        <f t="shared" si="41"/>
        <v>2.5861949373113175E-3</v>
      </c>
      <c r="E483" s="37">
        <v>33.74</v>
      </c>
      <c r="F483" s="13">
        <v>53.87</v>
      </c>
      <c r="G483" s="13">
        <f t="shared" si="42"/>
        <v>1.5966212211025488</v>
      </c>
      <c r="H483" s="13">
        <f t="shared" si="43"/>
        <v>4.1291737188192254E-3</v>
      </c>
    </row>
    <row r="484" spans="1:8" x14ac:dyDescent="0.25">
      <c r="A484" s="3" t="s">
        <v>438</v>
      </c>
      <c r="B484" s="10">
        <v>76837</v>
      </c>
      <c r="C484" s="23">
        <f t="shared" si="41"/>
        <v>2.0498809614007605E-2</v>
      </c>
      <c r="E484" s="37">
        <v>5.8</v>
      </c>
      <c r="F484" s="13">
        <v>14.01</v>
      </c>
      <c r="G484" s="13">
        <f t="shared" si="42"/>
        <v>2.4155172413793102</v>
      </c>
      <c r="H484" s="13">
        <f t="shared" si="43"/>
        <v>4.9515228050387335E-2</v>
      </c>
    </row>
    <row r="485" spans="1:8" x14ac:dyDescent="0.25">
      <c r="A485" s="3" t="s">
        <v>439</v>
      </c>
      <c r="B485" s="10">
        <v>5320</v>
      </c>
      <c r="C485" s="23">
        <f t="shared" si="41"/>
        <v>1.4192858537751404E-3</v>
      </c>
      <c r="E485" s="37">
        <v>37.07</v>
      </c>
      <c r="F485" s="13">
        <v>67.180000000000007</v>
      </c>
      <c r="G485" s="13">
        <f t="shared" si="42"/>
        <v>1.8122471000809282</v>
      </c>
      <c r="H485" s="13">
        <f t="shared" si="43"/>
        <v>2.5720966726898824E-3</v>
      </c>
    </row>
    <row r="486" spans="1:8" x14ac:dyDescent="0.25">
      <c r="A486" s="3" t="s">
        <v>440</v>
      </c>
      <c r="B486" s="10">
        <v>8487</v>
      </c>
      <c r="C486" s="23">
        <f t="shared" si="41"/>
        <v>2.2641877896597022E-3</v>
      </c>
      <c r="E486" s="37">
        <v>25.1</v>
      </c>
      <c r="F486" s="13">
        <v>44.15</v>
      </c>
      <c r="G486" s="13">
        <f t="shared" si="42"/>
        <v>1.7589641434262946</v>
      </c>
      <c r="H486" s="13">
        <f t="shared" si="43"/>
        <v>3.9826251359950529E-3</v>
      </c>
    </row>
    <row r="487" spans="1:8" x14ac:dyDescent="0.25">
      <c r="A487" s="3" t="s">
        <v>441</v>
      </c>
      <c r="B487" s="10">
        <v>18383</v>
      </c>
      <c r="C487" s="23">
        <f t="shared" si="41"/>
        <v>4.9042729041256401E-3</v>
      </c>
      <c r="E487" s="40">
        <v>13.41</v>
      </c>
      <c r="F487" s="13">
        <v>29.48</v>
      </c>
      <c r="G487" s="13">
        <f t="shared" si="42"/>
        <v>2.1983594332587622</v>
      </c>
      <c r="H487" s="13">
        <f t="shared" si="43"/>
        <v>1.0781354602059945E-2</v>
      </c>
    </row>
    <row r="488" spans="1:8" x14ac:dyDescent="0.25">
      <c r="A488" s="3" t="s">
        <v>442</v>
      </c>
      <c r="B488" s="10">
        <v>6207</v>
      </c>
      <c r="C488" s="23">
        <f t="shared" si="41"/>
        <v>1.6559224237560706E-3</v>
      </c>
      <c r="E488" s="40">
        <v>33.4</v>
      </c>
      <c r="F488" s="13">
        <v>53.91</v>
      </c>
      <c r="G488" s="13">
        <f t="shared" si="42"/>
        <v>1.6140718562874252</v>
      </c>
      <c r="H488" s="13">
        <f t="shared" si="43"/>
        <v>2.6727777803799333E-3</v>
      </c>
    </row>
    <row r="489" spans="1:8" x14ac:dyDescent="0.25">
      <c r="A489" s="3" t="s">
        <v>443</v>
      </c>
      <c r="B489" s="10">
        <v>14346</v>
      </c>
      <c r="C489" s="23">
        <f t="shared" si="41"/>
        <v>3.8272697101989026E-3</v>
      </c>
      <c r="E489" s="37">
        <v>12.54</v>
      </c>
      <c r="F489" s="13">
        <v>23.09</v>
      </c>
      <c r="G489" s="13">
        <f t="shared" si="42"/>
        <v>1.8413078149920257</v>
      </c>
      <c r="H489" s="13">
        <f t="shared" si="43"/>
        <v>7.0471816274715049E-3</v>
      </c>
    </row>
    <row r="490" spans="1:8" x14ac:dyDescent="0.25">
      <c r="A490" s="3" t="s">
        <v>444</v>
      </c>
      <c r="B490" s="10">
        <v>10897</v>
      </c>
      <c r="C490" s="23">
        <f t="shared" si="41"/>
        <v>2.9071349527420498E-3</v>
      </c>
      <c r="E490" s="37">
        <v>14.58</v>
      </c>
      <c r="F490" s="13">
        <v>28.67</v>
      </c>
      <c r="G490" s="13">
        <f t="shared" si="42"/>
        <v>1.9663923182441703</v>
      </c>
      <c r="H490" s="13">
        <f t="shared" si="43"/>
        <v>5.716567839171096E-3</v>
      </c>
    </row>
    <row r="491" spans="1:8" x14ac:dyDescent="0.25">
      <c r="A491" s="3" t="s">
        <v>445</v>
      </c>
      <c r="B491" s="10">
        <v>10644</v>
      </c>
      <c r="C491" s="23">
        <f t="shared" si="41"/>
        <v>2.8396388397711643E-3</v>
      </c>
      <c r="E491" s="37">
        <v>17.95</v>
      </c>
      <c r="F491" s="13">
        <v>34.65</v>
      </c>
      <c r="G491" s="13">
        <f t="shared" si="42"/>
        <v>1.9303621169916434</v>
      </c>
      <c r="H491" s="13">
        <f t="shared" si="43"/>
        <v>5.4815312422323587E-3</v>
      </c>
    </row>
    <row r="492" spans="1:8" x14ac:dyDescent="0.25">
      <c r="A492" s="3" t="s">
        <v>446</v>
      </c>
      <c r="B492" s="10">
        <v>15781</v>
      </c>
      <c r="C492" s="23">
        <f>B492/B$493</f>
        <v>4.2101033944408816E-3</v>
      </c>
      <c r="E492" s="37">
        <v>17.940000000000001</v>
      </c>
      <c r="F492" s="13">
        <v>37.39</v>
      </c>
      <c r="G492" s="13">
        <f t="shared" si="42"/>
        <v>2.0841694537346709</v>
      </c>
      <c r="H492" s="13">
        <f t="shared" si="43"/>
        <v>8.7745688917583355E-3</v>
      </c>
    </row>
    <row r="493" spans="1:8" x14ac:dyDescent="0.25">
      <c r="A493" s="20" t="s">
        <v>0</v>
      </c>
      <c r="B493" s="21">
        <f>SUM(B385:B492)</f>
        <v>3748364</v>
      </c>
      <c r="C493" s="22">
        <f>B493/B$493</f>
        <v>1</v>
      </c>
      <c r="D493" s="18"/>
      <c r="E493" s="18"/>
      <c r="F493" s="18"/>
      <c r="G493" s="39"/>
      <c r="H493" s="19">
        <f>SUM(H385:H492)</f>
        <v>2.4454304630215802</v>
      </c>
    </row>
    <row r="496" spans="1:8" x14ac:dyDescent="0.25">
      <c r="A496" s="9" t="s">
        <v>952</v>
      </c>
    </row>
    <row r="497" spans="1:8" x14ac:dyDescent="0.25">
      <c r="A497" s="3" t="s">
        <v>447</v>
      </c>
      <c r="B497" s="10">
        <v>92550</v>
      </c>
      <c r="C497" s="23">
        <f t="shared" ref="C497:C560" si="44">B497/B$594</f>
        <v>5.2498574795578887E-2</v>
      </c>
      <c r="E497" s="40">
        <v>5.76</v>
      </c>
      <c r="F497" s="13">
        <v>12.17</v>
      </c>
      <c r="G497" s="13">
        <f>F497/E497</f>
        <v>2.1128472222222223</v>
      </c>
      <c r="H497" s="13">
        <f>G497*C497</f>
        <v>0.11092146792746442</v>
      </c>
    </row>
    <row r="498" spans="1:8" x14ac:dyDescent="0.25">
      <c r="A498" s="3" t="s">
        <v>448</v>
      </c>
      <c r="B498" s="10">
        <v>247717</v>
      </c>
      <c r="C498" s="23">
        <f t="shared" si="44"/>
        <v>0.14051636361573652</v>
      </c>
      <c r="E498" s="37">
        <v>8.5399999999999991</v>
      </c>
      <c r="F498" s="13">
        <v>19.420000000000002</v>
      </c>
      <c r="G498" s="13">
        <f t="shared" ref="G498:G561" si="45">F498/E498</f>
        <v>2.2740046838407499</v>
      </c>
      <c r="H498" s="13">
        <f>G498*C498</f>
        <v>0.31953486901845479</v>
      </c>
    </row>
    <row r="499" spans="1:8" x14ac:dyDescent="0.25">
      <c r="A499" s="3" t="s">
        <v>449</v>
      </c>
      <c r="B499" s="10">
        <v>218095</v>
      </c>
      <c r="C499" s="23">
        <f t="shared" si="44"/>
        <v>0.12371341620790684</v>
      </c>
      <c r="E499" s="37">
        <v>8.4600000000000009</v>
      </c>
      <c r="F499" s="13">
        <v>17.559999999999999</v>
      </c>
      <c r="G499" s="13">
        <f t="shared" si="45"/>
        <v>2.0756501182033094</v>
      </c>
      <c r="H499" s="13">
        <f>G499*C499</f>
        <v>0.25678576697527705</v>
      </c>
    </row>
    <row r="500" spans="1:8" x14ac:dyDescent="0.25">
      <c r="A500" s="3" t="s">
        <v>450</v>
      </c>
      <c r="B500" s="10">
        <v>79502</v>
      </c>
      <c r="C500" s="23">
        <f t="shared" si="44"/>
        <v>4.5097154979990416E-2</v>
      </c>
      <c r="E500" s="37">
        <v>4.95</v>
      </c>
      <c r="F500" s="13">
        <v>12.7</v>
      </c>
      <c r="G500" s="13">
        <f t="shared" si="45"/>
        <v>2.5656565656565653</v>
      </c>
      <c r="H500" s="13">
        <f>G500*C500</f>
        <v>0.11570381176684408</v>
      </c>
    </row>
    <row r="501" spans="1:8" x14ac:dyDescent="0.25">
      <c r="A501" s="3" t="s">
        <v>451</v>
      </c>
      <c r="B501" s="10">
        <v>12603</v>
      </c>
      <c r="C501" s="23">
        <f t="shared" si="44"/>
        <v>7.1489955499587331E-3</v>
      </c>
      <c r="E501" s="37">
        <v>5</v>
      </c>
      <c r="F501" s="13">
        <v>11.01</v>
      </c>
      <c r="G501" s="13">
        <f t="shared" si="45"/>
        <v>2.202</v>
      </c>
      <c r="H501" s="13">
        <f>G501*C501</f>
        <v>1.5742088201009131E-2</v>
      </c>
    </row>
    <row r="502" spans="1:8" x14ac:dyDescent="0.25">
      <c r="A502" s="3" t="s">
        <v>452</v>
      </c>
      <c r="B502" s="10">
        <v>22114</v>
      </c>
      <c r="C502" s="23">
        <f t="shared" si="44"/>
        <v>1.2544067887946316E-2</v>
      </c>
      <c r="E502" s="37">
        <v>3.53</v>
      </c>
      <c r="F502" s="13">
        <v>10.94</v>
      </c>
      <c r="G502" s="13">
        <f t="shared" si="45"/>
        <v>3.0991501416430594</v>
      </c>
      <c r="H502" s="13">
        <f t="shared" ref="H502:H565" si="46">G502*C502</f>
        <v>3.8875949771708981E-2</v>
      </c>
    </row>
    <row r="503" spans="1:8" x14ac:dyDescent="0.25">
      <c r="A503" s="3" t="s">
        <v>453</v>
      </c>
      <c r="B503" s="31">
        <v>15771</v>
      </c>
      <c r="C503" s="23">
        <f t="shared" si="44"/>
        <v>8.9460294230261986E-3</v>
      </c>
      <c r="E503" s="37">
        <v>17.16</v>
      </c>
      <c r="F503" s="13">
        <v>31.93</v>
      </c>
      <c r="G503" s="13">
        <f t="shared" si="45"/>
        <v>1.8607226107226107</v>
      </c>
      <c r="H503" s="13">
        <f t="shared" si="46"/>
        <v>1.66460792236146E-2</v>
      </c>
    </row>
    <row r="504" spans="1:8" x14ac:dyDescent="0.25">
      <c r="A504" s="3" t="s">
        <v>454</v>
      </c>
      <c r="B504" s="10">
        <v>13354</v>
      </c>
      <c r="C504" s="23">
        <f t="shared" si="44"/>
        <v>7.5749969510552186E-3</v>
      </c>
      <c r="E504" s="37">
        <v>17.34</v>
      </c>
      <c r="F504" s="13">
        <v>44.73</v>
      </c>
      <c r="G504" s="13">
        <f t="shared" si="45"/>
        <v>2.5795847750865049</v>
      </c>
      <c r="H504" s="13">
        <f t="shared" si="46"/>
        <v>1.9540346806268736E-2</v>
      </c>
    </row>
    <row r="505" spans="1:8" x14ac:dyDescent="0.25">
      <c r="A505" s="3" t="s">
        <v>455</v>
      </c>
      <c r="B505" s="10">
        <v>18826</v>
      </c>
      <c r="C505" s="23">
        <f t="shared" si="44"/>
        <v>1.0678964549989931E-2</v>
      </c>
      <c r="E505" s="37">
        <v>16.98</v>
      </c>
      <c r="F505" s="13">
        <v>35.229999999999997</v>
      </c>
      <c r="G505" s="13">
        <f t="shared" si="45"/>
        <v>2.0747938751472317</v>
      </c>
      <c r="H505" s="13">
        <f t="shared" si="46"/>
        <v>2.2156650241233523E-2</v>
      </c>
    </row>
    <row r="506" spans="1:8" x14ac:dyDescent="0.25">
      <c r="A506" s="3" t="s">
        <v>456</v>
      </c>
      <c r="B506" s="10">
        <v>15853</v>
      </c>
      <c r="C506" s="23">
        <f t="shared" si="44"/>
        <v>8.9925435573669603E-3</v>
      </c>
      <c r="E506" s="37">
        <v>7.02</v>
      </c>
      <c r="F506" s="13">
        <v>18.89</v>
      </c>
      <c r="G506" s="13">
        <f t="shared" si="45"/>
        <v>2.6908831908831909</v>
      </c>
      <c r="H506" s="13">
        <f t="shared" si="46"/>
        <v>2.4197884301803686E-2</v>
      </c>
    </row>
    <row r="507" spans="1:8" x14ac:dyDescent="0.25">
      <c r="A507" s="3" t="s">
        <v>457</v>
      </c>
      <c r="B507" s="10">
        <v>23535</v>
      </c>
      <c r="C507" s="23">
        <f t="shared" si="44"/>
        <v>1.3350123801339266E-2</v>
      </c>
      <c r="E507" s="37">
        <v>17.54</v>
      </c>
      <c r="F507" s="13">
        <v>39.29</v>
      </c>
      <c r="G507" s="13">
        <f t="shared" si="45"/>
        <v>2.2400228050171038</v>
      </c>
      <c r="H507" s="13">
        <f t="shared" si="46"/>
        <v>2.9904581764801583E-2</v>
      </c>
    </row>
    <row r="508" spans="1:8" x14ac:dyDescent="0.25">
      <c r="A508" s="3" t="s">
        <v>458</v>
      </c>
      <c r="B508" s="10">
        <v>13196</v>
      </c>
      <c r="C508" s="23">
        <f t="shared" si="44"/>
        <v>7.4853721556181413E-3</v>
      </c>
      <c r="E508" s="37">
        <v>17.84</v>
      </c>
      <c r="F508" s="13">
        <v>43.08</v>
      </c>
      <c r="G508" s="13">
        <f t="shared" si="45"/>
        <v>2.4147982062780269</v>
      </c>
      <c r="H508" s="13">
        <f t="shared" si="46"/>
        <v>1.8075663254710175E-2</v>
      </c>
    </row>
    <row r="509" spans="1:8" x14ac:dyDescent="0.25">
      <c r="A509" s="3" t="s">
        <v>459</v>
      </c>
      <c r="B509" s="10">
        <v>2555</v>
      </c>
      <c r="C509" s="23">
        <f t="shared" si="44"/>
        <v>1.4493123565932368E-3</v>
      </c>
      <c r="E509" s="37">
        <v>17.62</v>
      </c>
      <c r="F509" s="13">
        <v>43.58</v>
      </c>
      <c r="G509" s="13">
        <f t="shared" si="45"/>
        <v>2.4733257661748009</v>
      </c>
      <c r="H509" s="13">
        <f t="shared" si="46"/>
        <v>3.5846215947975737E-3</v>
      </c>
    </row>
    <row r="510" spans="1:8" x14ac:dyDescent="0.25">
      <c r="A510" s="3" t="s">
        <v>460</v>
      </c>
      <c r="B510" s="10">
        <v>23735</v>
      </c>
      <c r="C510" s="23">
        <f t="shared" si="44"/>
        <v>1.3463572909487465E-2</v>
      </c>
      <c r="E510" s="37">
        <v>4.57</v>
      </c>
      <c r="F510" s="13">
        <v>13.83</v>
      </c>
      <c r="G510" s="13">
        <f t="shared" si="45"/>
        <v>3.0262582056892779</v>
      </c>
      <c r="H510" s="13">
        <f t="shared" si="46"/>
        <v>4.0744247995232304E-2</v>
      </c>
    </row>
    <row r="511" spans="1:8" x14ac:dyDescent="0.25">
      <c r="A511" s="3" t="s">
        <v>461</v>
      </c>
      <c r="B511" s="10">
        <v>321</v>
      </c>
      <c r="C511" s="23">
        <f t="shared" si="44"/>
        <v>1.820858185778587E-4</v>
      </c>
      <c r="E511" s="37">
        <v>23.51</v>
      </c>
      <c r="F511" s="13">
        <v>54.08</v>
      </c>
      <c r="G511" s="13">
        <f t="shared" si="45"/>
        <v>2.3002977456401528</v>
      </c>
      <c r="H511" s="13">
        <f t="shared" si="46"/>
        <v>4.1885159798769021E-4</v>
      </c>
    </row>
    <row r="512" spans="1:8" x14ac:dyDescent="0.25">
      <c r="A512" s="3" t="s">
        <v>462</v>
      </c>
      <c r="B512" s="10">
        <v>4895</v>
      </c>
      <c r="C512" s="23">
        <f t="shared" si="44"/>
        <v>2.7766669219271602E-3</v>
      </c>
      <c r="E512" s="37">
        <v>23.03</v>
      </c>
      <c r="F512" s="13">
        <v>43.09</v>
      </c>
      <c r="G512" s="13">
        <f t="shared" si="45"/>
        <v>1.8710377768128528</v>
      </c>
      <c r="H512" s="13">
        <f t="shared" si="46"/>
        <v>5.1952487045523804E-3</v>
      </c>
    </row>
    <row r="513" spans="1:8" x14ac:dyDescent="0.25">
      <c r="A513" s="3" t="s">
        <v>463</v>
      </c>
      <c r="B513" s="10">
        <v>13924</v>
      </c>
      <c r="C513" s="23">
        <f t="shared" si="44"/>
        <v>7.8983269092775844E-3</v>
      </c>
      <c r="E513" s="37">
        <v>93.09</v>
      </c>
      <c r="F513" s="13">
        <v>97.41</v>
      </c>
      <c r="G513" s="13">
        <f t="shared" si="45"/>
        <v>1.0464067031904607</v>
      </c>
      <c r="H513" s="13">
        <f t="shared" si="46"/>
        <v>8.2648622218576585E-3</v>
      </c>
    </row>
    <row r="514" spans="1:8" x14ac:dyDescent="0.25">
      <c r="A514" s="3" t="s">
        <v>464</v>
      </c>
      <c r="B514" s="10">
        <v>11490</v>
      </c>
      <c r="C514" s="23">
        <f t="shared" si="44"/>
        <v>6.5176512631140082E-3</v>
      </c>
      <c r="E514" s="37">
        <v>33.17</v>
      </c>
      <c r="F514" s="13">
        <v>69.459999999999994</v>
      </c>
      <c r="G514" s="13">
        <f t="shared" si="45"/>
        <v>2.0940608984021702</v>
      </c>
      <c r="H514" s="13">
        <f t="shared" si="46"/>
        <v>1.364835865950856E-2</v>
      </c>
    </row>
    <row r="515" spans="1:8" x14ac:dyDescent="0.25">
      <c r="A515" s="3" t="s">
        <v>465</v>
      </c>
      <c r="B515" s="10">
        <v>4660</v>
      </c>
      <c r="C515" s="23">
        <f t="shared" si="44"/>
        <v>2.6433642198530269E-3</v>
      </c>
      <c r="E515" s="37">
        <v>101.95</v>
      </c>
      <c r="F515" s="13">
        <v>112.7</v>
      </c>
      <c r="G515" s="13">
        <f t="shared" si="45"/>
        <v>1.1054438450220696</v>
      </c>
      <c r="H515" s="13">
        <f t="shared" si="46"/>
        <v>2.9220907069880935E-3</v>
      </c>
    </row>
    <row r="516" spans="1:8" x14ac:dyDescent="0.25">
      <c r="A516" s="3" t="s">
        <v>466</v>
      </c>
      <c r="B516" s="10">
        <v>9385</v>
      </c>
      <c r="C516" s="23">
        <f t="shared" si="44"/>
        <v>5.3235993998542175E-3</v>
      </c>
      <c r="E516" s="37">
        <v>17.420000000000002</v>
      </c>
      <c r="F516" s="13">
        <v>32.159999999999997</v>
      </c>
      <c r="G516" s="13">
        <f t="shared" si="45"/>
        <v>1.8461538461538458</v>
      </c>
      <c r="H516" s="13">
        <f t="shared" si="46"/>
        <v>9.8281835074231685E-3</v>
      </c>
    </row>
    <row r="517" spans="1:8" x14ac:dyDescent="0.25">
      <c r="A517" s="3" t="s">
        <v>467</v>
      </c>
      <c r="B517" s="10">
        <v>1477</v>
      </c>
      <c r="C517" s="23">
        <f t="shared" si="44"/>
        <v>8.3782166367444644E-4</v>
      </c>
      <c r="E517" s="37">
        <v>89.65</v>
      </c>
      <c r="F517" s="13">
        <v>89.77</v>
      </c>
      <c r="G517" s="13">
        <f t="shared" si="45"/>
        <v>1.0013385387618516</v>
      </c>
      <c r="H517" s="13">
        <f t="shared" si="46"/>
        <v>8.3894312044679369E-4</v>
      </c>
    </row>
    <row r="518" spans="1:8" x14ac:dyDescent="0.25">
      <c r="A518" s="3" t="s">
        <v>468</v>
      </c>
      <c r="B518" s="10">
        <v>10764</v>
      </c>
      <c r="C518" s="23">
        <f t="shared" si="44"/>
        <v>6.1058310005360468E-3</v>
      </c>
      <c r="E518" s="37">
        <v>107.23</v>
      </c>
      <c r="F518" s="13">
        <v>149.34</v>
      </c>
      <c r="G518" s="13">
        <f t="shared" si="45"/>
        <v>1.3927072647579968</v>
      </c>
      <c r="H518" s="13">
        <f t="shared" si="46"/>
        <v>8.5036351918311402E-3</v>
      </c>
    </row>
    <row r="519" spans="1:8" x14ac:dyDescent="0.25">
      <c r="A519" s="3" t="s">
        <v>469</v>
      </c>
      <c r="B519" s="10">
        <v>40549</v>
      </c>
      <c r="C519" s="23">
        <f t="shared" si="44"/>
        <v>2.3001239431506518E-2</v>
      </c>
      <c r="E519" s="37">
        <v>40.270000000000003</v>
      </c>
      <c r="F519" s="13">
        <v>59.2</v>
      </c>
      <c r="G519" s="13">
        <f t="shared" si="45"/>
        <v>1.4700769803824187</v>
      </c>
      <c r="H519" s="13">
        <f t="shared" si="46"/>
        <v>3.3813592608522125E-2</v>
      </c>
    </row>
    <row r="520" spans="1:8" x14ac:dyDescent="0.25">
      <c r="A520" s="3" t="s">
        <v>470</v>
      </c>
      <c r="B520" s="10">
        <v>23838</v>
      </c>
      <c r="C520" s="23">
        <f t="shared" si="44"/>
        <v>1.3521999200183788E-2</v>
      </c>
      <c r="E520" s="37">
        <v>12.87</v>
      </c>
      <c r="F520" s="13">
        <v>32.44</v>
      </c>
      <c r="G520" s="13">
        <f t="shared" si="45"/>
        <v>2.5205905205905204</v>
      </c>
      <c r="H520" s="13">
        <f t="shared" si="46"/>
        <v>3.4083423003415853E-2</v>
      </c>
    </row>
    <row r="521" spans="1:8" x14ac:dyDescent="0.25">
      <c r="A521" s="3" t="s">
        <v>471</v>
      </c>
      <c r="B521" s="10">
        <v>21450</v>
      </c>
      <c r="C521" s="23">
        <f t="shared" si="44"/>
        <v>1.2167416848894297E-2</v>
      </c>
      <c r="E521" s="37">
        <v>22.86</v>
      </c>
      <c r="F521" s="13">
        <v>44.18</v>
      </c>
      <c r="G521" s="13">
        <f t="shared" si="45"/>
        <v>1.9326334208223972</v>
      </c>
      <c r="H521" s="13">
        <f t="shared" si="46"/>
        <v>2.3515156447250659E-2</v>
      </c>
    </row>
    <row r="522" spans="1:8" x14ac:dyDescent="0.25">
      <c r="A522" s="3" t="s">
        <v>472</v>
      </c>
      <c r="B522" s="10">
        <v>8469</v>
      </c>
      <c r="C522" s="23">
        <f t="shared" si="44"/>
        <v>4.8040024845354681E-3</v>
      </c>
      <c r="E522" s="37">
        <v>18.07</v>
      </c>
      <c r="F522" s="13">
        <v>41.92</v>
      </c>
      <c r="G522" s="13">
        <f t="shared" si="45"/>
        <v>2.3198671831765356</v>
      </c>
      <c r="H522" s="13">
        <f t="shared" si="46"/>
        <v>1.1144647711772374E-2</v>
      </c>
    </row>
    <row r="523" spans="1:8" x14ac:dyDescent="0.25">
      <c r="A523" s="3" t="s">
        <v>473</v>
      </c>
      <c r="B523" s="10">
        <v>20255</v>
      </c>
      <c r="C523" s="23">
        <f t="shared" si="44"/>
        <v>1.148955842770881E-2</v>
      </c>
      <c r="E523" s="37">
        <v>9.6199999999999992</v>
      </c>
      <c r="F523" s="13">
        <v>28.92</v>
      </c>
      <c r="G523" s="13">
        <f t="shared" si="45"/>
        <v>3.0062370062370065</v>
      </c>
      <c r="H523" s="13">
        <f t="shared" si="46"/>
        <v>3.4540335730700499E-2</v>
      </c>
    </row>
    <row r="524" spans="1:8" x14ac:dyDescent="0.25">
      <c r="A524" s="33" t="s">
        <v>474</v>
      </c>
      <c r="B524" s="34">
        <v>3426</v>
      </c>
      <c r="C524" s="35"/>
      <c r="E524" s="37"/>
      <c r="F524" s="13"/>
      <c r="G524" s="13"/>
      <c r="H524" s="13"/>
    </row>
    <row r="525" spans="1:8" x14ac:dyDescent="0.25">
      <c r="A525" s="3" t="s">
        <v>475</v>
      </c>
      <c r="B525" s="10">
        <v>1197</v>
      </c>
      <c r="C525" s="23">
        <f t="shared" si="44"/>
        <v>6.7899291226696846E-4</v>
      </c>
      <c r="E525" s="37">
        <v>37.82</v>
      </c>
      <c r="F525" s="13">
        <v>95.75</v>
      </c>
      <c r="G525" s="13">
        <f t="shared" ref="G525:G542" si="47">F525/E525</f>
        <v>2.5317292437863563</v>
      </c>
      <c r="H525" s="13">
        <f t="shared" si="46"/>
        <v>1.7190262123099479E-3</v>
      </c>
    </row>
    <row r="526" spans="1:8" x14ac:dyDescent="0.25">
      <c r="A526" s="3" t="s">
        <v>476</v>
      </c>
      <c r="B526" s="10">
        <v>17086</v>
      </c>
      <c r="C526" s="23">
        <f t="shared" si="44"/>
        <v>9.6919573091006038E-3</v>
      </c>
      <c r="E526" s="37">
        <v>4.0599999999999996</v>
      </c>
      <c r="F526" s="13">
        <v>9.14</v>
      </c>
      <c r="G526" s="13">
        <f t="shared" si="47"/>
        <v>2.2512315270935965</v>
      </c>
      <c r="H526" s="13">
        <f t="shared" si="46"/>
        <v>2.1818839853492498E-2</v>
      </c>
    </row>
    <row r="527" spans="1:8" x14ac:dyDescent="0.25">
      <c r="A527" s="3" t="s">
        <v>477</v>
      </c>
      <c r="B527" s="10">
        <v>7286</v>
      </c>
      <c r="C527" s="23">
        <f t="shared" si="44"/>
        <v>4.1329510098388738E-3</v>
      </c>
      <c r="E527" s="37">
        <v>29.97</v>
      </c>
      <c r="F527" s="13">
        <v>74.819999999999993</v>
      </c>
      <c r="G527" s="13">
        <f t="shared" si="47"/>
        <v>2.4964964964964964</v>
      </c>
      <c r="H527" s="13">
        <f t="shared" si="46"/>
        <v>1.0317897716254406E-2</v>
      </c>
    </row>
    <row r="528" spans="1:8" x14ac:dyDescent="0.25">
      <c r="A528" s="3" t="s">
        <v>478</v>
      </c>
      <c r="B528" s="10">
        <v>1049</v>
      </c>
      <c r="C528" s="23">
        <f t="shared" si="44"/>
        <v>5.9504057223730151E-4</v>
      </c>
      <c r="E528" s="37">
        <v>36.119999999999997</v>
      </c>
      <c r="F528" s="13">
        <v>93.1</v>
      </c>
      <c r="G528" s="13">
        <f t="shared" si="47"/>
        <v>2.5775193798449614</v>
      </c>
      <c r="H528" s="13">
        <f t="shared" si="46"/>
        <v>1.5337286067356804E-3</v>
      </c>
    </row>
    <row r="529" spans="1:8" x14ac:dyDescent="0.25">
      <c r="A529" s="3" t="s">
        <v>479</v>
      </c>
      <c r="B529" s="10">
        <v>9330</v>
      </c>
      <c r="C529" s="23">
        <f t="shared" si="44"/>
        <v>5.2924008951134634E-3</v>
      </c>
      <c r="E529" s="37">
        <v>39.020000000000003</v>
      </c>
      <c r="F529" s="13">
        <v>105.77</v>
      </c>
      <c r="G529" s="13">
        <f t="shared" si="47"/>
        <v>2.7106611993849303</v>
      </c>
      <c r="H529" s="13">
        <f t="shared" si="46"/>
        <v>1.4345905757974139E-2</v>
      </c>
    </row>
    <row r="530" spans="1:8" x14ac:dyDescent="0.25">
      <c r="A530" s="3" t="s">
        <v>480</v>
      </c>
      <c r="B530" s="10">
        <v>1220</v>
      </c>
      <c r="C530" s="23">
        <f t="shared" si="44"/>
        <v>6.9203955970401131E-4</v>
      </c>
      <c r="E530" s="37">
        <v>35.33</v>
      </c>
      <c r="F530" s="13">
        <v>94.06</v>
      </c>
      <c r="G530" s="13">
        <f t="shared" si="47"/>
        <v>2.6623266345881689</v>
      </c>
      <c r="H530" s="13">
        <f t="shared" si="46"/>
        <v>1.8424353519886586E-3</v>
      </c>
    </row>
    <row r="531" spans="1:8" x14ac:dyDescent="0.25">
      <c r="A531" s="3" t="s">
        <v>481</v>
      </c>
      <c r="B531" s="10">
        <v>10929</v>
      </c>
      <c r="C531" s="23">
        <f t="shared" si="44"/>
        <v>6.1994265147583107E-3</v>
      </c>
      <c r="E531" s="37">
        <v>13.72</v>
      </c>
      <c r="F531" s="13">
        <v>24.65</v>
      </c>
      <c r="G531" s="13">
        <f t="shared" si="47"/>
        <v>1.7966472303206995</v>
      </c>
      <c r="H531" s="13">
        <f t="shared" si="46"/>
        <v>1.1138182477317226E-2</v>
      </c>
    </row>
    <row r="532" spans="1:8" x14ac:dyDescent="0.25">
      <c r="A532" s="3" t="s">
        <v>482</v>
      </c>
      <c r="B532" s="10">
        <v>15464</v>
      </c>
      <c r="C532" s="23">
        <f t="shared" si="44"/>
        <v>8.7718850420187133E-3</v>
      </c>
      <c r="E532" s="37">
        <v>22.94</v>
      </c>
      <c r="F532" s="13">
        <v>49.63</v>
      </c>
      <c r="G532" s="13">
        <f t="shared" si="47"/>
        <v>2.1634699215344377</v>
      </c>
      <c r="H532" s="13">
        <f t="shared" si="46"/>
        <v>1.8977709443565333E-2</v>
      </c>
    </row>
    <row r="533" spans="1:8" x14ac:dyDescent="0.25">
      <c r="A533" s="3" t="s">
        <v>483</v>
      </c>
      <c r="B533" s="10">
        <v>9922</v>
      </c>
      <c r="C533" s="23">
        <f t="shared" si="44"/>
        <v>5.6282102552321312E-3</v>
      </c>
      <c r="E533" s="37">
        <v>31.99</v>
      </c>
      <c r="F533" s="13">
        <v>71.52</v>
      </c>
      <c r="G533" s="13">
        <f t="shared" si="47"/>
        <v>2.235698655829947</v>
      </c>
      <c r="H533" s="13">
        <f t="shared" si="46"/>
        <v>1.2582982102350799E-2</v>
      </c>
    </row>
    <row r="534" spans="1:8" x14ac:dyDescent="0.25">
      <c r="A534" s="3" t="s">
        <v>484</v>
      </c>
      <c r="B534" s="10">
        <v>15330</v>
      </c>
      <c r="C534" s="23">
        <f t="shared" si="44"/>
        <v>8.6958741395594206E-3</v>
      </c>
      <c r="E534" s="37">
        <v>12.76</v>
      </c>
      <c r="F534" s="13">
        <v>35.880000000000003</v>
      </c>
      <c r="G534" s="13">
        <f t="shared" si="47"/>
        <v>2.8119122257053295</v>
      </c>
      <c r="H534" s="13">
        <f t="shared" si="46"/>
        <v>2.4452034806221948E-2</v>
      </c>
    </row>
    <row r="535" spans="1:8" x14ac:dyDescent="0.25">
      <c r="A535" s="3" t="s">
        <v>485</v>
      </c>
      <c r="B535" s="10">
        <v>17087</v>
      </c>
      <c r="C535" s="23">
        <f t="shared" si="44"/>
        <v>9.6925245546413442E-3</v>
      </c>
      <c r="E535" s="37">
        <v>8.75</v>
      </c>
      <c r="F535" s="13">
        <v>26.08</v>
      </c>
      <c r="G535" s="13">
        <f t="shared" si="47"/>
        <v>2.9805714285714284</v>
      </c>
      <c r="H535" s="13">
        <f t="shared" si="46"/>
        <v>2.8889261758290999E-2</v>
      </c>
    </row>
    <row r="536" spans="1:8" x14ac:dyDescent="0.25">
      <c r="A536" s="3" t="s">
        <v>486</v>
      </c>
      <c r="B536" s="10">
        <v>5063</v>
      </c>
      <c r="C536" s="23">
        <f t="shared" si="44"/>
        <v>2.8719641727716467E-3</v>
      </c>
      <c r="E536" s="37">
        <v>8.75</v>
      </c>
      <c r="F536" s="13">
        <v>23.99</v>
      </c>
      <c r="G536" s="13">
        <f t="shared" si="47"/>
        <v>2.7417142857142855</v>
      </c>
      <c r="H536" s="13">
        <f t="shared" si="46"/>
        <v>7.8741052005476334E-3</v>
      </c>
    </row>
    <row r="537" spans="1:8" x14ac:dyDescent="0.25">
      <c r="A537" s="3" t="s">
        <v>487</v>
      </c>
      <c r="B537" s="10">
        <v>8646</v>
      </c>
      <c r="C537" s="23">
        <f t="shared" si="44"/>
        <v>4.9044049452466243E-3</v>
      </c>
      <c r="E537" s="37">
        <v>17.25</v>
      </c>
      <c r="F537" s="13">
        <v>46.95</v>
      </c>
      <c r="G537" s="13">
        <f t="shared" si="47"/>
        <v>2.7217391304347829</v>
      </c>
      <c r="H537" s="13">
        <f t="shared" si="46"/>
        <v>1.3348510850975596E-2</v>
      </c>
    </row>
    <row r="538" spans="1:8" x14ac:dyDescent="0.25">
      <c r="A538" s="3" t="s">
        <v>488</v>
      </c>
      <c r="B538" s="10">
        <v>11739</v>
      </c>
      <c r="C538" s="23">
        <f t="shared" si="44"/>
        <v>6.6588954027585147E-3</v>
      </c>
      <c r="E538" s="37">
        <v>15.88</v>
      </c>
      <c r="F538" s="13">
        <v>39.06</v>
      </c>
      <c r="G538" s="13">
        <f t="shared" si="47"/>
        <v>2.4596977329974812</v>
      </c>
      <c r="H538" s="13">
        <f t="shared" si="46"/>
        <v>1.6378869926432466E-2</v>
      </c>
    </row>
    <row r="539" spans="1:8" x14ac:dyDescent="0.25">
      <c r="A539" s="3" t="s">
        <v>489</v>
      </c>
      <c r="B539" s="10">
        <v>13247</v>
      </c>
      <c r="C539" s="23">
        <f t="shared" si="44"/>
        <v>7.5143016781959327E-3</v>
      </c>
      <c r="E539" s="37">
        <v>54.74</v>
      </c>
      <c r="F539" s="13">
        <v>121.28</v>
      </c>
      <c r="G539" s="13">
        <f t="shared" si="47"/>
        <v>2.2155644866642308</v>
      </c>
      <c r="H539" s="13">
        <f t="shared" si="46"/>
        <v>1.6648419940292338E-2</v>
      </c>
    </row>
    <row r="540" spans="1:8" x14ac:dyDescent="0.25">
      <c r="A540" s="3" t="s">
        <v>490</v>
      </c>
      <c r="B540" s="10">
        <v>9492</v>
      </c>
      <c r="C540" s="23">
        <f t="shared" si="44"/>
        <v>5.3842946727135042E-3</v>
      </c>
      <c r="E540" s="37">
        <v>35.39</v>
      </c>
      <c r="F540" s="13">
        <v>94.56</v>
      </c>
      <c r="G540" s="13">
        <f t="shared" si="47"/>
        <v>2.671941226335123</v>
      </c>
      <c r="H540" s="13">
        <f t="shared" si="46"/>
        <v>1.438651891075979E-2</v>
      </c>
    </row>
    <row r="541" spans="1:8" x14ac:dyDescent="0.25">
      <c r="A541" s="3" t="s">
        <v>491</v>
      </c>
      <c r="B541" s="10">
        <v>8545</v>
      </c>
      <c r="C541" s="23">
        <f t="shared" si="44"/>
        <v>4.8471131456317837E-3</v>
      </c>
      <c r="E541" s="37">
        <v>26.73</v>
      </c>
      <c r="F541" s="13">
        <v>62.61</v>
      </c>
      <c r="G541" s="13">
        <f t="shared" si="47"/>
        <v>2.3423120089786758</v>
      </c>
      <c r="H541" s="13">
        <f t="shared" si="46"/>
        <v>1.1353451329891733E-2</v>
      </c>
    </row>
    <row r="542" spans="1:8" x14ac:dyDescent="0.25">
      <c r="A542" s="3" t="s">
        <v>492</v>
      </c>
      <c r="B542" s="10">
        <v>8824</v>
      </c>
      <c r="C542" s="23">
        <f t="shared" si="44"/>
        <v>5.0053746514985209E-3</v>
      </c>
      <c r="E542" s="37">
        <v>16.55</v>
      </c>
      <c r="F542" s="13">
        <v>48.13</v>
      </c>
      <c r="G542" s="13">
        <f t="shared" si="47"/>
        <v>2.9081570996978852</v>
      </c>
      <c r="H542" s="13">
        <f t="shared" si="46"/>
        <v>1.4556415829403251E-2</v>
      </c>
    </row>
    <row r="543" spans="1:8" x14ac:dyDescent="0.25">
      <c r="A543" s="3" t="s">
        <v>493</v>
      </c>
      <c r="B543" s="10">
        <v>3065</v>
      </c>
      <c r="C543" s="23">
        <f t="shared" si="44"/>
        <v>1.7386075823711431E-3</v>
      </c>
      <c r="E543" s="37">
        <v>23.72</v>
      </c>
      <c r="F543" s="13">
        <v>39</v>
      </c>
      <c r="G543" s="13">
        <f t="shared" si="45"/>
        <v>1.6441821247892074</v>
      </c>
      <c r="H543" s="13">
        <f t="shared" si="46"/>
        <v>2.8585875089576131E-3</v>
      </c>
    </row>
    <row r="544" spans="1:8" x14ac:dyDescent="0.25">
      <c r="A544" s="3" t="s">
        <v>494</v>
      </c>
      <c r="B544" s="10">
        <v>2103</v>
      </c>
      <c r="C544" s="23">
        <f t="shared" si="44"/>
        <v>1.1929173721783079E-3</v>
      </c>
      <c r="E544" s="37">
        <v>7.51</v>
      </c>
      <c r="F544" s="13">
        <v>10.55</v>
      </c>
      <c r="G544" s="13">
        <f t="shared" si="45"/>
        <v>1.4047936085219708</v>
      </c>
      <c r="H544" s="13">
        <f t="shared" si="46"/>
        <v>1.6758026999309119E-3</v>
      </c>
    </row>
    <row r="545" spans="1:8" x14ac:dyDescent="0.25">
      <c r="A545" s="3" t="s">
        <v>495</v>
      </c>
      <c r="B545" s="10">
        <v>1334</v>
      </c>
      <c r="C545" s="23">
        <f t="shared" si="44"/>
        <v>7.5670555134848443E-4</v>
      </c>
      <c r="E545" s="37">
        <v>12.63</v>
      </c>
      <c r="F545" s="13">
        <v>51.9</v>
      </c>
      <c r="G545" s="13">
        <f t="shared" si="45"/>
        <v>4.1092636579572446</v>
      </c>
      <c r="H545" s="13">
        <f t="shared" si="46"/>
        <v>3.1095026219308268E-3</v>
      </c>
    </row>
    <row r="546" spans="1:8" x14ac:dyDescent="0.25">
      <c r="A546" s="3" t="s">
        <v>496</v>
      </c>
      <c r="B546" s="10">
        <v>8941</v>
      </c>
      <c r="C546" s="23">
        <f t="shared" si="44"/>
        <v>5.0717423797652173E-3</v>
      </c>
      <c r="E546" s="37">
        <v>17.11</v>
      </c>
      <c r="F546" s="13">
        <v>33.270000000000003</v>
      </c>
      <c r="G546" s="13">
        <f t="shared" si="45"/>
        <v>1.9444769140853304</v>
      </c>
      <c r="H546" s="13">
        <f t="shared" si="46"/>
        <v>9.8618859716416603E-3</v>
      </c>
    </row>
    <row r="547" spans="1:8" x14ac:dyDescent="0.25">
      <c r="A547" s="3" t="s">
        <v>497</v>
      </c>
      <c r="B547" s="10">
        <v>16024</v>
      </c>
      <c r="C547" s="23">
        <f t="shared" si="44"/>
        <v>9.0895425448336686E-3</v>
      </c>
      <c r="E547" s="37">
        <v>23.18</v>
      </c>
      <c r="F547" s="13">
        <v>42.34</v>
      </c>
      <c r="G547" s="13">
        <f t="shared" si="45"/>
        <v>1.8265746333045731</v>
      </c>
      <c r="H547" s="13">
        <f t="shared" si="46"/>
        <v>1.6602727840735874E-2</v>
      </c>
    </row>
    <row r="548" spans="1:8" x14ac:dyDescent="0.25">
      <c r="A548" s="3" t="s">
        <v>498</v>
      </c>
      <c r="B548" s="10">
        <v>13993</v>
      </c>
      <c r="C548" s="23">
        <f t="shared" si="44"/>
        <v>7.9374668515887134E-3</v>
      </c>
      <c r="E548" s="37">
        <v>14.88</v>
      </c>
      <c r="F548" s="13">
        <v>31.43</v>
      </c>
      <c r="G548" s="13">
        <f t="shared" si="45"/>
        <v>2.112231182795699</v>
      </c>
      <c r="H548" s="13">
        <f t="shared" si="46"/>
        <v>1.676576499633288E-2</v>
      </c>
    </row>
    <row r="549" spans="1:8" x14ac:dyDescent="0.25">
      <c r="A549" s="3" t="s">
        <v>499</v>
      </c>
      <c r="B549" s="10">
        <v>15515</v>
      </c>
      <c r="C549" s="23">
        <f t="shared" si="44"/>
        <v>8.8008145645965038E-3</v>
      </c>
      <c r="E549" s="37">
        <v>29.99</v>
      </c>
      <c r="F549" s="13">
        <v>67.489999999999995</v>
      </c>
      <c r="G549" s="13">
        <f t="shared" si="45"/>
        <v>2.2504168056018674</v>
      </c>
      <c r="H549" s="13">
        <f t="shared" si="46"/>
        <v>1.9805500999153652E-2</v>
      </c>
    </row>
    <row r="550" spans="1:8" x14ac:dyDescent="0.25">
      <c r="A550" s="3" t="s">
        <v>500</v>
      </c>
      <c r="B550" s="10">
        <f>4682+B524</f>
        <v>8108</v>
      </c>
      <c r="C550" s="23">
        <f t="shared" si="44"/>
        <v>4.59922684432797E-3</v>
      </c>
      <c r="E550" s="37">
        <v>18.16</v>
      </c>
      <c r="F550" s="13">
        <v>44.05</v>
      </c>
      <c r="G550" s="13">
        <f t="shared" si="45"/>
        <v>2.4256607929515415</v>
      </c>
      <c r="H550" s="13">
        <f t="shared" si="46"/>
        <v>1.11561642341766E-2</v>
      </c>
    </row>
    <row r="551" spans="1:8" x14ac:dyDescent="0.25">
      <c r="A551" s="3" t="s">
        <v>501</v>
      </c>
      <c r="B551" s="10">
        <v>9317</v>
      </c>
      <c r="C551" s="23">
        <f t="shared" si="44"/>
        <v>5.2850267030838307E-3</v>
      </c>
      <c r="E551" s="37">
        <v>20.64</v>
      </c>
      <c r="F551" s="13">
        <v>46.6</v>
      </c>
      <c r="G551" s="13">
        <f t="shared" si="45"/>
        <v>2.2577519379844961</v>
      </c>
      <c r="H551" s="13">
        <f t="shared" si="46"/>
        <v>1.1932279281187331E-2</v>
      </c>
    </row>
    <row r="552" spans="1:8" x14ac:dyDescent="0.25">
      <c r="A552" s="3" t="s">
        <v>502</v>
      </c>
      <c r="B552" s="10">
        <v>22531</v>
      </c>
      <c r="C552" s="23">
        <f t="shared" si="44"/>
        <v>1.278060927843531E-2</v>
      </c>
      <c r="E552" s="37">
        <v>24.54</v>
      </c>
      <c r="F552" s="13">
        <v>47.85</v>
      </c>
      <c r="G552" s="13">
        <f t="shared" si="45"/>
        <v>1.949877750611247</v>
      </c>
      <c r="H552" s="13">
        <f t="shared" si="46"/>
        <v>2.4920625671276675E-2</v>
      </c>
    </row>
    <row r="553" spans="1:8" x14ac:dyDescent="0.25">
      <c r="A553" s="3" t="s">
        <v>503</v>
      </c>
      <c r="B553" s="10">
        <v>6032</v>
      </c>
      <c r="C553" s="23">
        <f t="shared" si="44"/>
        <v>3.4216251017496688E-3</v>
      </c>
      <c r="E553" s="37">
        <v>25.36</v>
      </c>
      <c r="F553" s="13">
        <v>48.48</v>
      </c>
      <c r="G553" s="13">
        <f t="shared" si="45"/>
        <v>1.9116719242902207</v>
      </c>
      <c r="H553" s="13">
        <f t="shared" si="46"/>
        <v>6.5410246424615114E-3</v>
      </c>
    </row>
    <row r="554" spans="1:8" x14ac:dyDescent="0.25">
      <c r="A554" s="3" t="s">
        <v>504</v>
      </c>
      <c r="B554" s="10">
        <v>19711</v>
      </c>
      <c r="C554" s="23">
        <f t="shared" si="44"/>
        <v>1.118097685354571E-2</v>
      </c>
      <c r="E554" s="37">
        <v>16.45</v>
      </c>
      <c r="F554" s="13">
        <v>36.33</v>
      </c>
      <c r="G554" s="13">
        <f t="shared" si="45"/>
        <v>2.2085106382978723</v>
      </c>
      <c r="H554" s="13">
        <f t="shared" si="46"/>
        <v>2.4693306327617973E-2</v>
      </c>
    </row>
    <row r="555" spans="1:8" x14ac:dyDescent="0.25">
      <c r="A555" s="3" t="s">
        <v>505</v>
      </c>
      <c r="B555" s="10">
        <v>8018</v>
      </c>
      <c r="C555" s="23">
        <f t="shared" si="44"/>
        <v>4.5481747456612804E-3</v>
      </c>
      <c r="E555" s="37">
        <v>16.350000000000001</v>
      </c>
      <c r="F555" s="13">
        <v>27.54</v>
      </c>
      <c r="G555" s="13">
        <f t="shared" si="45"/>
        <v>1.6844036697247704</v>
      </c>
      <c r="H555" s="13">
        <f t="shared" si="46"/>
        <v>7.6609622321413854E-3</v>
      </c>
    </row>
    <row r="556" spans="1:8" x14ac:dyDescent="0.25">
      <c r="A556" s="3" t="s">
        <v>506</v>
      </c>
      <c r="B556" s="10">
        <v>9965</v>
      </c>
      <c r="C556" s="23">
        <f t="shared" si="44"/>
        <v>5.6526018134839939E-3</v>
      </c>
      <c r="E556" s="37">
        <v>13.7</v>
      </c>
      <c r="F556" s="13">
        <v>31.05</v>
      </c>
      <c r="G556" s="13">
        <f t="shared" si="45"/>
        <v>2.2664233576642339</v>
      </c>
      <c r="H556" s="13">
        <f t="shared" si="46"/>
        <v>1.281118878165533E-2</v>
      </c>
    </row>
    <row r="557" spans="1:8" x14ac:dyDescent="0.25">
      <c r="A557" s="3" t="s">
        <v>507</v>
      </c>
      <c r="B557" s="10">
        <v>10546</v>
      </c>
      <c r="C557" s="23">
        <f t="shared" si="44"/>
        <v>5.9821714726545107E-3</v>
      </c>
      <c r="E557" s="37">
        <v>4.93</v>
      </c>
      <c r="F557" s="13">
        <v>9.94</v>
      </c>
      <c r="G557" s="13">
        <f t="shared" si="45"/>
        <v>2.0162271805273835</v>
      </c>
      <c r="H557" s="13">
        <f t="shared" si="46"/>
        <v>1.206141672174155E-2</v>
      </c>
    </row>
    <row r="558" spans="1:8" x14ac:dyDescent="0.25">
      <c r="A558" s="3" t="s">
        <v>508</v>
      </c>
      <c r="B558" s="10">
        <v>21507</v>
      </c>
      <c r="C558" s="23">
        <f t="shared" si="44"/>
        <v>1.2199749844716534E-2</v>
      </c>
      <c r="E558" s="37">
        <v>4.68</v>
      </c>
      <c r="F558" s="13">
        <v>8.9700000000000006</v>
      </c>
      <c r="G558" s="13">
        <f t="shared" si="45"/>
        <v>1.916666666666667</v>
      </c>
      <c r="H558" s="13">
        <f t="shared" si="46"/>
        <v>2.3382853869040026E-2</v>
      </c>
    </row>
    <row r="559" spans="1:8" x14ac:dyDescent="0.25">
      <c r="A559" s="3" t="s">
        <v>509</v>
      </c>
      <c r="B559" s="10">
        <v>11908</v>
      </c>
      <c r="C559" s="23">
        <f t="shared" si="44"/>
        <v>6.7547598991437429E-3</v>
      </c>
      <c r="E559" s="37">
        <v>8.64</v>
      </c>
      <c r="F559" s="13">
        <v>24.18</v>
      </c>
      <c r="G559" s="13">
        <f t="shared" si="45"/>
        <v>2.7986111111111107</v>
      </c>
      <c r="H559" s="13">
        <f t="shared" si="46"/>
        <v>1.8903946106631445E-2</v>
      </c>
    </row>
    <row r="560" spans="1:8" x14ac:dyDescent="0.25">
      <c r="A560" s="3" t="s">
        <v>510</v>
      </c>
      <c r="B560" s="10">
        <v>29743</v>
      </c>
      <c r="C560" s="23">
        <f t="shared" si="44"/>
        <v>1.6871584118259349E-2</v>
      </c>
      <c r="E560" s="37">
        <v>5.25</v>
      </c>
      <c r="F560" s="13">
        <v>8.7200000000000006</v>
      </c>
      <c r="G560" s="13">
        <f t="shared" si="45"/>
        <v>1.6609523809523812</v>
      </c>
      <c r="H560" s="13">
        <f t="shared" si="46"/>
        <v>2.8022897811661247E-2</v>
      </c>
    </row>
    <row r="561" spans="1:8" x14ac:dyDescent="0.25">
      <c r="A561" s="3" t="s">
        <v>511</v>
      </c>
      <c r="B561" s="10">
        <v>2440</v>
      </c>
      <c r="C561" s="23">
        <f t="shared" ref="C561:C591" si="48">B561/B$594</f>
        <v>1.3840791194080226E-3</v>
      </c>
      <c r="E561" s="37">
        <v>9.42</v>
      </c>
      <c r="F561" s="13">
        <v>21.53</v>
      </c>
      <c r="G561" s="13">
        <f t="shared" si="45"/>
        <v>2.2855626326963909</v>
      </c>
      <c r="H561" s="13">
        <f t="shared" si="46"/>
        <v>3.1633995160143028E-3</v>
      </c>
    </row>
    <row r="562" spans="1:8" x14ac:dyDescent="0.25">
      <c r="A562" s="3" t="s">
        <v>512</v>
      </c>
      <c r="B562" s="10">
        <v>11697</v>
      </c>
      <c r="C562" s="23">
        <f t="shared" si="48"/>
        <v>6.6350710900473934E-3</v>
      </c>
      <c r="E562" s="37">
        <v>13.49</v>
      </c>
      <c r="F562" s="13">
        <v>39.020000000000003</v>
      </c>
      <c r="G562" s="13">
        <f t="shared" ref="G562:G593" si="49">F562/E562</f>
        <v>2.892512972572276</v>
      </c>
      <c r="H562" s="13">
        <f t="shared" si="46"/>
        <v>1.9192029201901356E-2</v>
      </c>
    </row>
    <row r="563" spans="1:8" x14ac:dyDescent="0.25">
      <c r="A563" s="3" t="s">
        <v>513</v>
      </c>
      <c r="B563" s="10">
        <v>9189</v>
      </c>
      <c r="C563" s="23">
        <f t="shared" si="48"/>
        <v>5.2124192738689833E-3</v>
      </c>
      <c r="E563" s="37">
        <v>18.52</v>
      </c>
      <c r="F563" s="13">
        <v>48.89</v>
      </c>
      <c r="G563" s="13">
        <f t="shared" si="49"/>
        <v>2.6398488120950323</v>
      </c>
      <c r="H563" s="13">
        <f t="shared" si="46"/>
        <v>1.3759998828264286E-2</v>
      </c>
    </row>
    <row r="564" spans="1:8" x14ac:dyDescent="0.25">
      <c r="A564" s="3" t="s">
        <v>514</v>
      </c>
      <c r="B564" s="10">
        <v>17306</v>
      </c>
      <c r="C564" s="23">
        <f t="shared" si="48"/>
        <v>9.8167513280636217E-3</v>
      </c>
      <c r="E564" s="37">
        <v>16.579999999999998</v>
      </c>
      <c r="F564" s="13">
        <v>36.479999999999997</v>
      </c>
      <c r="G564" s="13">
        <f t="shared" si="49"/>
        <v>2.2002412545235224</v>
      </c>
      <c r="H564" s="13">
        <f t="shared" si="46"/>
        <v>2.1599221257404159E-2</v>
      </c>
    </row>
    <row r="565" spans="1:8" x14ac:dyDescent="0.25">
      <c r="A565" s="3" t="s">
        <v>515</v>
      </c>
      <c r="B565" s="10">
        <v>8093</v>
      </c>
      <c r="C565" s="23">
        <f t="shared" si="48"/>
        <v>4.5907181612168555E-3</v>
      </c>
      <c r="E565" s="37">
        <v>15.88</v>
      </c>
      <c r="F565" s="13">
        <v>31.72</v>
      </c>
      <c r="G565" s="13">
        <f t="shared" si="49"/>
        <v>1.9974811083123425</v>
      </c>
      <c r="H565" s="13">
        <f t="shared" si="46"/>
        <v>9.1698728006170439E-3</v>
      </c>
    </row>
    <row r="566" spans="1:8" x14ac:dyDescent="0.25">
      <c r="A566" s="3" t="s">
        <v>516</v>
      </c>
      <c r="B566" s="10">
        <v>11170</v>
      </c>
      <c r="C566" s="23">
        <f t="shared" si="48"/>
        <v>6.3361326900768901E-3</v>
      </c>
      <c r="E566" s="37">
        <v>7.32</v>
      </c>
      <c r="F566" s="13">
        <v>17.53</v>
      </c>
      <c r="G566" s="13">
        <f t="shared" si="49"/>
        <v>2.3948087431693992</v>
      </c>
      <c r="H566" s="13">
        <f t="shared" ref="H566:H593" si="50">G566*C566</f>
        <v>1.5173825964077582E-2</v>
      </c>
    </row>
    <row r="567" spans="1:8" x14ac:dyDescent="0.25">
      <c r="A567" s="3" t="s">
        <v>517</v>
      </c>
      <c r="B567" s="10">
        <v>9003</v>
      </c>
      <c r="C567" s="23">
        <f t="shared" si="48"/>
        <v>5.1069116032911588E-3</v>
      </c>
      <c r="E567" s="37">
        <v>16.04</v>
      </c>
      <c r="F567" s="13">
        <v>29.55</v>
      </c>
      <c r="G567" s="13">
        <f t="shared" si="49"/>
        <v>1.8422693266832919</v>
      </c>
      <c r="H567" s="13">
        <f t="shared" si="50"/>
        <v>9.4083066008262932E-3</v>
      </c>
    </row>
    <row r="568" spans="1:8" x14ac:dyDescent="0.25">
      <c r="A568" s="3" t="s">
        <v>518</v>
      </c>
      <c r="B568" s="10">
        <v>11638</v>
      </c>
      <c r="C568" s="23">
        <f t="shared" si="48"/>
        <v>6.6016036031436749E-3</v>
      </c>
      <c r="E568" s="37">
        <v>12.66</v>
      </c>
      <c r="F568" s="13">
        <v>21.84</v>
      </c>
      <c r="G568" s="13">
        <f t="shared" si="49"/>
        <v>1.7251184834123223</v>
      </c>
      <c r="H568" s="13">
        <f t="shared" si="50"/>
        <v>1.1388548395944539E-2</v>
      </c>
    </row>
    <row r="569" spans="1:8" x14ac:dyDescent="0.25">
      <c r="A569" s="3" t="s">
        <v>519</v>
      </c>
      <c r="B569" s="10">
        <v>8850</v>
      </c>
      <c r="C569" s="23">
        <f t="shared" si="48"/>
        <v>5.0201230355577863E-3</v>
      </c>
      <c r="E569" s="37">
        <v>12.51</v>
      </c>
      <c r="F569" s="13">
        <v>31.91</v>
      </c>
      <c r="G569" s="13">
        <f t="shared" si="49"/>
        <v>2.5507593924860115</v>
      </c>
      <c r="H569" s="13">
        <f t="shared" si="50"/>
        <v>1.2805125984384411E-2</v>
      </c>
    </row>
    <row r="570" spans="1:8" x14ac:dyDescent="0.25">
      <c r="A570" s="3" t="s">
        <v>520</v>
      </c>
      <c r="B570" s="10">
        <v>18865</v>
      </c>
      <c r="C570" s="23">
        <f t="shared" si="48"/>
        <v>1.0701087126078829E-2</v>
      </c>
      <c r="E570" s="37">
        <v>17.760000000000002</v>
      </c>
      <c r="F570" s="13">
        <v>36.76</v>
      </c>
      <c r="G570" s="13">
        <f t="shared" si="49"/>
        <v>2.0698198198198194</v>
      </c>
      <c r="H570" s="13">
        <f t="shared" si="50"/>
        <v>2.2149322227176672E-2</v>
      </c>
    </row>
    <row r="571" spans="1:8" x14ac:dyDescent="0.25">
      <c r="A571" s="3" t="s">
        <v>521</v>
      </c>
      <c r="B571" s="10">
        <v>13036</v>
      </c>
      <c r="C571" s="23">
        <f t="shared" si="48"/>
        <v>7.3946128690995832E-3</v>
      </c>
      <c r="E571" s="37">
        <v>13.66</v>
      </c>
      <c r="F571" s="13">
        <v>24.01</v>
      </c>
      <c r="G571" s="13">
        <f t="shared" si="49"/>
        <v>1.7576866764275256</v>
      </c>
      <c r="H571" s="13">
        <f t="shared" si="50"/>
        <v>1.2997412517355856E-2</v>
      </c>
    </row>
    <row r="572" spans="1:8" x14ac:dyDescent="0.25">
      <c r="A572" s="3" t="s">
        <v>522</v>
      </c>
      <c r="B572" s="10">
        <v>14878</v>
      </c>
      <c r="C572" s="23">
        <f t="shared" si="48"/>
        <v>8.4394791551444925E-3</v>
      </c>
      <c r="E572" s="37">
        <v>17.46</v>
      </c>
      <c r="F572" s="13">
        <v>37.06</v>
      </c>
      <c r="G572" s="13">
        <f t="shared" si="49"/>
        <v>2.1225658648339061</v>
      </c>
      <c r="H572" s="13">
        <f t="shared" si="50"/>
        <v>1.7913350371686992E-2</v>
      </c>
    </row>
    <row r="573" spans="1:8" x14ac:dyDescent="0.25">
      <c r="A573" s="3" t="s">
        <v>523</v>
      </c>
      <c r="B573" s="10">
        <v>15272</v>
      </c>
      <c r="C573" s="23">
        <f t="shared" si="48"/>
        <v>8.6629738981964435E-3</v>
      </c>
      <c r="E573" s="37">
        <v>14.05</v>
      </c>
      <c r="F573" s="13">
        <v>25.32</v>
      </c>
      <c r="G573" s="13">
        <f t="shared" si="49"/>
        <v>1.8021352313167258</v>
      </c>
      <c r="H573" s="13">
        <f t="shared" si="50"/>
        <v>1.5611850469917006E-2</v>
      </c>
    </row>
    <row r="574" spans="1:8" x14ac:dyDescent="0.25">
      <c r="A574" s="3" t="s">
        <v>524</v>
      </c>
      <c r="B574" s="10">
        <v>19137</v>
      </c>
      <c r="C574" s="23">
        <f t="shared" si="48"/>
        <v>1.085537791316038E-2</v>
      </c>
      <c r="E574" s="37">
        <v>13.69</v>
      </c>
      <c r="F574" s="13">
        <v>29.13</v>
      </c>
      <c r="G574" s="13">
        <f t="shared" si="49"/>
        <v>2.1278305332359388</v>
      </c>
      <c r="H574" s="13">
        <f t="shared" si="50"/>
        <v>2.3098404573437686E-2</v>
      </c>
    </row>
    <row r="575" spans="1:8" x14ac:dyDescent="0.25">
      <c r="A575" s="3" t="s">
        <v>525</v>
      </c>
      <c r="B575" s="10">
        <v>24485</v>
      </c>
      <c r="C575" s="23">
        <f t="shared" si="48"/>
        <v>1.388900706504321E-2</v>
      </c>
      <c r="E575" s="37">
        <v>21.35</v>
      </c>
      <c r="F575" s="13">
        <v>40.99</v>
      </c>
      <c r="G575" s="13">
        <f t="shared" si="49"/>
        <v>1.9199063231850118</v>
      </c>
      <c r="H575" s="13">
        <f t="shared" si="50"/>
        <v>2.6665592486937763E-2</v>
      </c>
    </row>
    <row r="576" spans="1:8" x14ac:dyDescent="0.25">
      <c r="A576" s="3" t="s">
        <v>526</v>
      </c>
      <c r="B576" s="10">
        <v>8607</v>
      </c>
      <c r="C576" s="23">
        <f t="shared" si="48"/>
        <v>4.8822823691577252E-3</v>
      </c>
      <c r="E576" s="37">
        <v>29.06</v>
      </c>
      <c r="F576" s="13">
        <v>65.77</v>
      </c>
      <c r="G576" s="13">
        <f t="shared" si="49"/>
        <v>2.2632484514796971</v>
      </c>
      <c r="H576" s="13">
        <f t="shared" si="50"/>
        <v>1.1049818011682849E-2</v>
      </c>
    </row>
    <row r="577" spans="1:8" x14ac:dyDescent="0.25">
      <c r="A577" s="3" t="s">
        <v>527</v>
      </c>
      <c r="B577" s="10">
        <v>25832</v>
      </c>
      <c r="C577" s="23">
        <f t="shared" si="48"/>
        <v>1.4653086808421327E-2</v>
      </c>
      <c r="E577" s="37">
        <v>4.2699999999999996</v>
      </c>
      <c r="F577" s="13">
        <v>14.02</v>
      </c>
      <c r="G577" s="13">
        <f t="shared" si="49"/>
        <v>3.2833723653395785</v>
      </c>
      <c r="H577" s="13">
        <f t="shared" si="50"/>
        <v>4.8111540293692509E-2</v>
      </c>
    </row>
    <row r="578" spans="1:8" x14ac:dyDescent="0.25">
      <c r="A578" s="3" t="s">
        <v>528</v>
      </c>
      <c r="B578" s="10">
        <v>6377</v>
      </c>
      <c r="C578" s="23">
        <f t="shared" si="48"/>
        <v>3.6173248133053114E-3</v>
      </c>
      <c r="E578" s="37">
        <v>15.83</v>
      </c>
      <c r="F578" s="13">
        <v>34.97</v>
      </c>
      <c r="G578" s="13">
        <f t="shared" si="49"/>
        <v>2.2090966519267212</v>
      </c>
      <c r="H578" s="13">
        <f t="shared" si="50"/>
        <v>7.9910201340042154E-3</v>
      </c>
    </row>
    <row r="579" spans="1:8" x14ac:dyDescent="0.25">
      <c r="A579" s="3" t="s">
        <v>529</v>
      </c>
      <c r="B579" s="10">
        <v>11910</v>
      </c>
      <c r="C579" s="23">
        <f t="shared" si="48"/>
        <v>6.7558943902252247E-3</v>
      </c>
      <c r="E579" s="37">
        <v>7.83</v>
      </c>
      <c r="F579" s="13">
        <v>23.39</v>
      </c>
      <c r="G579" s="13">
        <f t="shared" si="49"/>
        <v>2.9872286079182633</v>
      </c>
      <c r="H579" s="13">
        <f t="shared" si="50"/>
        <v>2.0181400994555301E-2</v>
      </c>
    </row>
    <row r="580" spans="1:8" x14ac:dyDescent="0.25">
      <c r="A580" s="3" t="s">
        <v>530</v>
      </c>
      <c r="B580" s="10">
        <v>11345</v>
      </c>
      <c r="C580" s="23">
        <f t="shared" si="48"/>
        <v>6.4354006597065637E-3</v>
      </c>
      <c r="E580" s="37">
        <v>8.23</v>
      </c>
      <c r="F580" s="13">
        <v>20.95</v>
      </c>
      <c r="G580" s="13">
        <f t="shared" si="49"/>
        <v>2.5455650060753339</v>
      </c>
      <c r="H580" s="13">
        <f t="shared" si="50"/>
        <v>1.6381730719423147E-2</v>
      </c>
    </row>
    <row r="581" spans="1:8" x14ac:dyDescent="0.25">
      <c r="A581" s="3" t="s">
        <v>531</v>
      </c>
      <c r="B581" s="10">
        <v>9376</v>
      </c>
      <c r="C581" s="23">
        <f t="shared" si="48"/>
        <v>5.3184941899875491E-3</v>
      </c>
      <c r="E581" s="37">
        <v>19.02</v>
      </c>
      <c r="F581" s="13">
        <v>40.229999999999997</v>
      </c>
      <c r="G581" s="13">
        <f t="shared" si="49"/>
        <v>2.1151419558359619</v>
      </c>
      <c r="H581" s="13">
        <f t="shared" si="50"/>
        <v>1.1249370203112464E-2</v>
      </c>
    </row>
    <row r="582" spans="1:8" x14ac:dyDescent="0.25">
      <c r="A582" s="3" t="s">
        <v>532</v>
      </c>
      <c r="B582" s="10">
        <v>9026</v>
      </c>
      <c r="C582" s="23">
        <f t="shared" si="48"/>
        <v>5.1199582507282012E-3</v>
      </c>
      <c r="E582" s="37">
        <v>7.87</v>
      </c>
      <c r="F582" s="13">
        <v>29.79</v>
      </c>
      <c r="G582" s="13">
        <f t="shared" si="49"/>
        <v>3.7852604828462515</v>
      </c>
      <c r="H582" s="13">
        <f t="shared" si="50"/>
        <v>1.9380375640304079E-2</v>
      </c>
    </row>
    <row r="583" spans="1:8" x14ac:dyDescent="0.25">
      <c r="A583" s="3" t="s">
        <v>533</v>
      </c>
      <c r="B583" s="10">
        <v>9905</v>
      </c>
      <c r="C583" s="23">
        <f t="shared" si="48"/>
        <v>5.6185670810395341E-3</v>
      </c>
      <c r="E583" s="37">
        <v>12.34</v>
      </c>
      <c r="F583" s="13">
        <v>30.95</v>
      </c>
      <c r="G583" s="13">
        <f t="shared" si="49"/>
        <v>2.5081037277147487</v>
      </c>
      <c r="H583" s="13">
        <f t="shared" si="50"/>
        <v>1.409194904037063E-2</v>
      </c>
    </row>
    <row r="584" spans="1:8" x14ac:dyDescent="0.25">
      <c r="A584" s="3" t="s">
        <v>534</v>
      </c>
      <c r="B584" s="10">
        <v>1463</v>
      </c>
      <c r="C584" s="23">
        <f t="shared" si="48"/>
        <v>8.2988022610407249E-4</v>
      </c>
      <c r="E584" s="37">
        <v>27.67</v>
      </c>
      <c r="F584" s="13">
        <v>56.93</v>
      </c>
      <c r="G584" s="13">
        <f t="shared" si="49"/>
        <v>2.0574629562703288</v>
      </c>
      <c r="H584" s="13">
        <f t="shared" si="50"/>
        <v>1.7074478233503739E-3</v>
      </c>
    </row>
    <row r="585" spans="1:8" x14ac:dyDescent="0.25">
      <c r="A585" s="3" t="s">
        <v>535</v>
      </c>
      <c r="B585" s="10">
        <v>8433</v>
      </c>
      <c r="C585" s="23">
        <f t="shared" si="48"/>
        <v>4.7835816450687929E-3</v>
      </c>
      <c r="E585" s="37">
        <v>15.9</v>
      </c>
      <c r="F585" s="13">
        <v>37.36</v>
      </c>
      <c r="G585" s="13">
        <f t="shared" si="49"/>
        <v>2.3496855345911949</v>
      </c>
      <c r="H585" s="13">
        <f t="shared" si="50"/>
        <v>1.1239912594954094E-2</v>
      </c>
    </row>
    <row r="586" spans="1:8" x14ac:dyDescent="0.25">
      <c r="A586" s="3" t="s">
        <v>536</v>
      </c>
      <c r="B586" s="10">
        <v>11357</v>
      </c>
      <c r="C586" s="23">
        <f t="shared" si="48"/>
        <v>6.442207606195456E-3</v>
      </c>
      <c r="E586" s="37">
        <v>14.26</v>
      </c>
      <c r="F586" s="13">
        <v>32.46</v>
      </c>
      <c r="G586" s="13">
        <f t="shared" si="49"/>
        <v>2.276297335203366</v>
      </c>
      <c r="H586" s="13">
        <f t="shared" si="50"/>
        <v>1.4664380006809571E-2</v>
      </c>
    </row>
    <row r="587" spans="1:8" x14ac:dyDescent="0.25">
      <c r="A587" s="3" t="s">
        <v>537</v>
      </c>
      <c r="B587" s="10">
        <v>10251</v>
      </c>
      <c r="C587" s="23">
        <f t="shared" si="48"/>
        <v>5.8148340381359177E-3</v>
      </c>
      <c r="E587" s="37">
        <v>21.9</v>
      </c>
      <c r="F587" s="13">
        <v>47.78</v>
      </c>
      <c r="G587" s="13">
        <f t="shared" si="49"/>
        <v>2.181735159817352</v>
      </c>
      <c r="H587" s="13">
        <f t="shared" si="50"/>
        <v>1.2686427869503844E-2</v>
      </c>
    </row>
    <row r="588" spans="1:8" x14ac:dyDescent="0.25">
      <c r="A588" s="3" t="s">
        <v>538</v>
      </c>
      <c r="B588" s="10">
        <v>13465</v>
      </c>
      <c r="C588" s="23">
        <f t="shared" si="48"/>
        <v>7.6379612060774689E-3</v>
      </c>
      <c r="E588" s="37">
        <v>18.87</v>
      </c>
      <c r="F588" s="13">
        <v>42.52</v>
      </c>
      <c r="G588" s="13">
        <f t="shared" si="49"/>
        <v>2.2533121356650767</v>
      </c>
      <c r="H588" s="13">
        <f t="shared" si="50"/>
        <v>1.7210710677393427E-2</v>
      </c>
    </row>
    <row r="589" spans="1:8" x14ac:dyDescent="0.25">
      <c r="A589" s="3" t="s">
        <v>539</v>
      </c>
      <c r="B589" s="10">
        <v>11860</v>
      </c>
      <c r="C589" s="23">
        <f t="shared" si="48"/>
        <v>6.7275321131881755E-3</v>
      </c>
      <c r="E589" s="37">
        <v>23.99</v>
      </c>
      <c r="F589" s="13">
        <v>45.68</v>
      </c>
      <c r="G589" s="13">
        <f t="shared" si="49"/>
        <v>1.9041267194664444</v>
      </c>
      <c r="H589" s="13">
        <f t="shared" si="50"/>
        <v>1.2810073652790157E-2</v>
      </c>
    </row>
    <row r="590" spans="1:8" x14ac:dyDescent="0.25">
      <c r="A590" s="3" t="s">
        <v>540</v>
      </c>
      <c r="B590" s="10">
        <v>13472</v>
      </c>
      <c r="C590" s="23">
        <f t="shared" si="48"/>
        <v>7.6419319248626555E-3</v>
      </c>
      <c r="E590" s="37">
        <v>13.6</v>
      </c>
      <c r="F590" s="13">
        <v>33.67</v>
      </c>
      <c r="G590" s="13">
        <f t="shared" si="49"/>
        <v>2.4757352941176474</v>
      </c>
      <c r="H590" s="13">
        <f t="shared" si="50"/>
        <v>1.8919400581626885E-2</v>
      </c>
    </row>
    <row r="591" spans="1:8" x14ac:dyDescent="0.25">
      <c r="A591" s="3" t="s">
        <v>541</v>
      </c>
      <c r="B591" s="10">
        <v>12499</v>
      </c>
      <c r="C591" s="23">
        <f t="shared" si="48"/>
        <v>7.0900020137216694E-3</v>
      </c>
      <c r="E591" s="37">
        <v>32.33</v>
      </c>
      <c r="F591" s="13">
        <v>69.069999999999993</v>
      </c>
      <c r="G591" s="13">
        <f t="shared" si="49"/>
        <v>2.1364058150324774</v>
      </c>
      <c r="H591" s="13">
        <f t="shared" si="50"/>
        <v>1.5147121530706948E-2</v>
      </c>
    </row>
    <row r="592" spans="1:8" x14ac:dyDescent="0.25">
      <c r="A592" s="3" t="s">
        <v>542</v>
      </c>
      <c r="B592" s="10">
        <v>14684</v>
      </c>
      <c r="C592" s="23">
        <f>B592/B$594</f>
        <v>8.3294335202407383E-3</v>
      </c>
      <c r="E592" s="37">
        <v>14.72</v>
      </c>
      <c r="F592" s="13">
        <v>37.979999999999997</v>
      </c>
      <c r="G592" s="13">
        <f t="shared" si="49"/>
        <v>2.5801630434782608</v>
      </c>
      <c r="H592" s="13">
        <f t="shared" si="50"/>
        <v>2.1491296542034185E-2</v>
      </c>
    </row>
    <row r="593" spans="1:8" x14ac:dyDescent="0.25">
      <c r="A593" s="3" t="s">
        <v>543</v>
      </c>
      <c r="B593" s="10">
        <v>17284</v>
      </c>
      <c r="C593" s="23">
        <f>B593/B$594</f>
        <v>9.8042719261673197E-3</v>
      </c>
      <c r="E593" s="37">
        <v>20.66</v>
      </c>
      <c r="F593" s="13">
        <v>42.77</v>
      </c>
      <c r="G593" s="13">
        <f t="shared" si="49"/>
        <v>2.0701839303000971</v>
      </c>
      <c r="H593" s="13">
        <f t="shared" si="50"/>
        <v>2.0296646189843965E-2</v>
      </c>
    </row>
    <row r="594" spans="1:8" x14ac:dyDescent="0.25">
      <c r="A594" s="20" t="s">
        <v>0</v>
      </c>
      <c r="B594" s="21">
        <f>SUM(B497:B593)-B524</f>
        <v>1762905</v>
      </c>
      <c r="C594" s="25">
        <f>B594/B$594</f>
        <v>1</v>
      </c>
      <c r="D594" s="18"/>
      <c r="E594" s="18"/>
      <c r="F594" s="18"/>
      <c r="G594" s="39"/>
      <c r="H594" s="19">
        <f>SUM(H497:H593)</f>
        <v>2.2427689761506606</v>
      </c>
    </row>
    <row r="597" spans="1:8" x14ac:dyDescent="0.25">
      <c r="A597" s="9" t="s">
        <v>953</v>
      </c>
    </row>
    <row r="598" spans="1:8" x14ac:dyDescent="0.25">
      <c r="A598" s="3" t="s">
        <v>544</v>
      </c>
      <c r="B598" s="10">
        <v>181959</v>
      </c>
      <c r="C598" s="23">
        <f t="shared" ref="C598:C650" si="51">B598/B$650</f>
        <v>0.18330334674502805</v>
      </c>
      <c r="E598" s="37">
        <v>5.53</v>
      </c>
      <c r="F598" s="13">
        <v>15.41</v>
      </c>
      <c r="G598" s="13">
        <f>F598/E598</f>
        <v>2.786618444846293</v>
      </c>
      <c r="H598" s="13">
        <f>G598*C598</f>
        <v>0.51079648704175085</v>
      </c>
    </row>
    <row r="599" spans="1:8" x14ac:dyDescent="0.25">
      <c r="A599" s="3" t="s">
        <v>545</v>
      </c>
      <c r="B599" s="10">
        <v>9958</v>
      </c>
      <c r="C599" s="23">
        <f t="shared" si="51"/>
        <v>1.0031571545716282E-2</v>
      </c>
      <c r="E599" s="37">
        <v>8.1999999999999993</v>
      </c>
      <c r="F599" s="13">
        <v>17.11</v>
      </c>
      <c r="G599" s="13">
        <f t="shared" ref="G599:G649" si="52">F599/E599</f>
        <v>2.0865853658536588</v>
      </c>
      <c r="H599" s="13">
        <f>G599*C599</f>
        <v>2.0931730383805563E-2</v>
      </c>
    </row>
    <row r="600" spans="1:8" x14ac:dyDescent="0.25">
      <c r="A600" s="3" t="s">
        <v>546</v>
      </c>
      <c r="B600" s="10">
        <v>7939</v>
      </c>
      <c r="C600" s="23">
        <f t="shared" si="51"/>
        <v>7.9976548003054398E-3</v>
      </c>
      <c r="E600" s="37">
        <v>10.69</v>
      </c>
      <c r="F600" s="13">
        <v>31.45</v>
      </c>
      <c r="G600" s="13">
        <f t="shared" si="52"/>
        <v>2.9420018709073901</v>
      </c>
      <c r="H600" s="13">
        <f>G600*C600</f>
        <v>2.3529115385370072E-2</v>
      </c>
    </row>
    <row r="601" spans="1:8" x14ac:dyDescent="0.25">
      <c r="A601" s="3" t="s">
        <v>547</v>
      </c>
      <c r="B601" s="10">
        <v>18138</v>
      </c>
      <c r="C601" s="23">
        <f t="shared" si="51"/>
        <v>1.827200689859429E-2</v>
      </c>
      <c r="E601" s="37">
        <v>12.54</v>
      </c>
      <c r="F601" s="13">
        <v>30.28</v>
      </c>
      <c r="G601" s="13">
        <f t="shared" si="52"/>
        <v>2.4146730462519939</v>
      </c>
      <c r="H601" s="13">
        <f>G601*C601</f>
        <v>4.4120922558966123E-2</v>
      </c>
    </row>
    <row r="602" spans="1:8" x14ac:dyDescent="0.25">
      <c r="A602" s="3" t="s">
        <v>548</v>
      </c>
      <c r="B602" s="10">
        <v>10747</v>
      </c>
      <c r="C602" s="23">
        <f t="shared" si="51"/>
        <v>1.0826400823640579E-2</v>
      </c>
      <c r="E602" s="37">
        <v>13.16</v>
      </c>
      <c r="F602" s="13">
        <v>28.83</v>
      </c>
      <c r="G602" s="13">
        <f t="shared" si="52"/>
        <v>2.1907294832826745</v>
      </c>
      <c r="H602" s="13">
        <f>G602*C602</f>
        <v>2.3717715482185247E-2</v>
      </c>
    </row>
    <row r="603" spans="1:8" x14ac:dyDescent="0.25">
      <c r="A603" s="3" t="s">
        <v>549</v>
      </c>
      <c r="B603" s="10">
        <v>18295</v>
      </c>
      <c r="C603" s="23">
        <f t="shared" si="51"/>
        <v>1.8430166843631191E-2</v>
      </c>
      <c r="E603" s="37">
        <v>7.84</v>
      </c>
      <c r="F603" s="13">
        <v>19.579999999999998</v>
      </c>
      <c r="G603" s="13">
        <f t="shared" si="52"/>
        <v>2.4974489795918364</v>
      </c>
      <c r="H603" s="13">
        <f t="shared" ref="H603:H649" si="53">G603*C603</f>
        <v>4.6028401377334015E-2</v>
      </c>
    </row>
    <row r="604" spans="1:8" x14ac:dyDescent="0.25">
      <c r="A604" s="3" t="s">
        <v>550</v>
      </c>
      <c r="B604" s="10">
        <v>12907</v>
      </c>
      <c r="C604" s="23">
        <f t="shared" si="51"/>
        <v>1.300235930312915E-2</v>
      </c>
      <c r="E604" s="37">
        <v>10.88</v>
      </c>
      <c r="F604" s="13">
        <v>25.61</v>
      </c>
      <c r="G604" s="13">
        <f t="shared" si="52"/>
        <v>2.3538602941176467</v>
      </c>
      <c r="H604" s="13">
        <f t="shared" si="53"/>
        <v>3.0605737293486902E-2</v>
      </c>
    </row>
    <row r="605" spans="1:8" x14ac:dyDescent="0.25">
      <c r="A605" s="3" t="s">
        <v>551</v>
      </c>
      <c r="B605" s="10">
        <v>14360</v>
      </c>
      <c r="C605" s="23">
        <f t="shared" si="51"/>
        <v>1.4466094335859192E-2</v>
      </c>
      <c r="E605" s="37">
        <v>10.56</v>
      </c>
      <c r="F605" s="13">
        <v>29.66</v>
      </c>
      <c r="G605" s="13">
        <f t="shared" si="52"/>
        <v>2.8087121212121211</v>
      </c>
      <c r="H605" s="13">
        <f t="shared" si="53"/>
        <v>4.0631094507725722E-2</v>
      </c>
    </row>
    <row r="606" spans="1:8" x14ac:dyDescent="0.25">
      <c r="A606" s="3" t="s">
        <v>552</v>
      </c>
      <c r="B606" s="10">
        <v>16353</v>
      </c>
      <c r="C606" s="23">
        <f t="shared" si="51"/>
        <v>1.6473818988461376E-2</v>
      </c>
      <c r="E606" s="37">
        <v>7.36</v>
      </c>
      <c r="F606" s="13">
        <v>22.38</v>
      </c>
      <c r="G606" s="13">
        <f t="shared" si="52"/>
        <v>3.0407608695652173</v>
      </c>
      <c r="H606" s="13">
        <f t="shared" si="53"/>
        <v>5.0092944152413804E-2</v>
      </c>
    </row>
    <row r="607" spans="1:8" x14ac:dyDescent="0.25">
      <c r="A607" s="3" t="s">
        <v>553</v>
      </c>
      <c r="B607" s="10">
        <v>40192</v>
      </c>
      <c r="C607" s="23">
        <f t="shared" si="51"/>
        <v>4.048894592944656E-2</v>
      </c>
      <c r="E607" s="37">
        <v>4.6399999999999997</v>
      </c>
      <c r="F607" s="13">
        <v>13.11</v>
      </c>
      <c r="G607" s="13">
        <f t="shared" si="52"/>
        <v>2.8254310344827589</v>
      </c>
      <c r="H607" s="13">
        <f t="shared" si="53"/>
        <v>0.11439872438255268</v>
      </c>
    </row>
    <row r="608" spans="1:8" x14ac:dyDescent="0.25">
      <c r="A608" s="3" t="s">
        <v>554</v>
      </c>
      <c r="B608" s="10">
        <v>14928</v>
      </c>
      <c r="C608" s="23">
        <f t="shared" si="51"/>
        <v>1.503829082490989E-2</v>
      </c>
      <c r="E608" s="37">
        <v>9.0299999999999994</v>
      </c>
      <c r="F608" s="13">
        <v>25.09</v>
      </c>
      <c r="G608" s="13">
        <f t="shared" si="52"/>
        <v>2.7785160575858252</v>
      </c>
      <c r="H608" s="13">
        <f t="shared" si="53"/>
        <v>4.1784132535657714E-2</v>
      </c>
    </row>
    <row r="609" spans="1:8" x14ac:dyDescent="0.25">
      <c r="A609" s="3" t="s">
        <v>555</v>
      </c>
      <c r="B609" s="10">
        <v>16133</v>
      </c>
      <c r="C609" s="23">
        <f t="shared" si="51"/>
        <v>1.6252193587772724E-2</v>
      </c>
      <c r="E609" s="37">
        <v>12.77</v>
      </c>
      <c r="F609" s="13">
        <v>26.37</v>
      </c>
      <c r="G609" s="13">
        <f t="shared" si="52"/>
        <v>2.0649960845732185</v>
      </c>
      <c r="H609" s="13">
        <f t="shared" si="53"/>
        <v>3.3560716124476642E-2</v>
      </c>
    </row>
    <row r="610" spans="1:8" x14ac:dyDescent="0.25">
      <c r="A610" s="3" t="s">
        <v>556</v>
      </c>
      <c r="B610" s="10">
        <v>30051</v>
      </c>
      <c r="C610" s="23">
        <f t="shared" si="51"/>
        <v>3.0273022345884717E-2</v>
      </c>
      <c r="E610" s="37">
        <v>3.81</v>
      </c>
      <c r="F610" s="13">
        <v>12.97</v>
      </c>
      <c r="G610" s="13">
        <f t="shared" si="52"/>
        <v>3.4041994750656168</v>
      </c>
      <c r="H610" s="13">
        <f t="shared" si="53"/>
        <v>0.10305540677851044</v>
      </c>
    </row>
    <row r="611" spans="1:8" x14ac:dyDescent="0.25">
      <c r="A611" s="3" t="s">
        <v>557</v>
      </c>
      <c r="B611" s="10">
        <v>12082</v>
      </c>
      <c r="C611" s="23">
        <f t="shared" si="51"/>
        <v>1.217126405054671E-2</v>
      </c>
      <c r="E611" s="37">
        <v>10.27</v>
      </c>
      <c r="F611" s="13">
        <v>26.48</v>
      </c>
      <c r="G611" s="13">
        <f t="shared" si="52"/>
        <v>2.578383641674781</v>
      </c>
      <c r="H611" s="13">
        <f t="shared" si="53"/>
        <v>3.1382188126433973E-2</v>
      </c>
    </row>
    <row r="612" spans="1:8" x14ac:dyDescent="0.25">
      <c r="A612" s="3" t="s">
        <v>558</v>
      </c>
      <c r="B612" s="10">
        <v>8992</v>
      </c>
      <c r="C612" s="23">
        <f t="shared" si="51"/>
        <v>9.058434559056118E-3</v>
      </c>
      <c r="E612" s="37">
        <v>13.42</v>
      </c>
      <c r="F612" s="13">
        <v>43.36</v>
      </c>
      <c r="G612" s="13">
        <f t="shared" si="52"/>
        <v>3.2309985096870344</v>
      </c>
      <c r="H612" s="13">
        <f t="shared" si="53"/>
        <v>2.9267788560407845E-2</v>
      </c>
    </row>
    <row r="613" spans="1:8" x14ac:dyDescent="0.25">
      <c r="A613" s="3" t="s">
        <v>559</v>
      </c>
      <c r="B613" s="10">
        <v>15885</v>
      </c>
      <c r="C613" s="23">
        <f t="shared" si="51"/>
        <v>1.6002361317905518E-2</v>
      </c>
      <c r="E613" s="37">
        <v>7.09</v>
      </c>
      <c r="F613" s="13">
        <v>16.63</v>
      </c>
      <c r="G613" s="13">
        <f t="shared" si="52"/>
        <v>2.3455571227080392</v>
      </c>
      <c r="H613" s="13">
        <f t="shared" si="53"/>
        <v>3.7534452569360895E-2</v>
      </c>
    </row>
    <row r="614" spans="1:8" x14ac:dyDescent="0.25">
      <c r="A614" s="3" t="s">
        <v>560</v>
      </c>
      <c r="B614" s="10">
        <v>6354</v>
      </c>
      <c r="C614" s="23">
        <f t="shared" si="51"/>
        <v>6.4009445271622075E-3</v>
      </c>
      <c r="E614" s="37">
        <v>10.45</v>
      </c>
      <c r="F614" s="13">
        <v>24.11</v>
      </c>
      <c r="G614" s="13">
        <f t="shared" si="52"/>
        <v>2.307177033492823</v>
      </c>
      <c r="H614" s="13">
        <f t="shared" si="53"/>
        <v>1.4768112205730223E-2</v>
      </c>
    </row>
    <row r="615" spans="1:8" x14ac:dyDescent="0.25">
      <c r="A615" s="3" t="s">
        <v>561</v>
      </c>
      <c r="B615" s="10">
        <v>16565</v>
      </c>
      <c r="C615" s="23">
        <f t="shared" si="51"/>
        <v>1.668738528367044E-2</v>
      </c>
      <c r="E615" s="37">
        <v>9.76</v>
      </c>
      <c r="F615" s="13">
        <v>30.36</v>
      </c>
      <c r="G615" s="13">
        <f t="shared" si="52"/>
        <v>3.110655737704918</v>
      </c>
      <c r="H615" s="13">
        <f t="shared" si="53"/>
        <v>5.1908710779942066E-2</v>
      </c>
    </row>
    <row r="616" spans="1:8" x14ac:dyDescent="0.25">
      <c r="A616" s="3" t="s">
        <v>562</v>
      </c>
      <c r="B616" s="10">
        <v>15998</v>
      </c>
      <c r="C616" s="23">
        <f t="shared" si="51"/>
        <v>1.6116196182804691E-2</v>
      </c>
      <c r="E616" s="37">
        <v>12.57</v>
      </c>
      <c r="F616" s="13">
        <v>29.42</v>
      </c>
      <c r="G616" s="13">
        <f t="shared" si="52"/>
        <v>2.3404932378679395</v>
      </c>
      <c r="H616" s="13">
        <f t="shared" si="53"/>
        <v>3.7719848186007481E-2</v>
      </c>
    </row>
    <row r="617" spans="1:8" x14ac:dyDescent="0.25">
      <c r="A617" s="3" t="s">
        <v>563</v>
      </c>
      <c r="B617" s="10">
        <v>9843</v>
      </c>
      <c r="C617" s="23">
        <f t="shared" si="51"/>
        <v>9.9157219044472156E-3</v>
      </c>
      <c r="E617" s="37">
        <v>10.09</v>
      </c>
      <c r="F617" s="13">
        <v>23.61</v>
      </c>
      <c r="G617" s="13">
        <f t="shared" si="52"/>
        <v>2.33994053518335</v>
      </c>
      <c r="H617" s="13">
        <f t="shared" si="53"/>
        <v>2.3202199619821486E-2</v>
      </c>
    </row>
    <row r="618" spans="1:8" x14ac:dyDescent="0.25">
      <c r="A618" s="3" t="s">
        <v>564</v>
      </c>
      <c r="B618" s="10">
        <v>46882</v>
      </c>
      <c r="C618" s="23">
        <f t="shared" si="51"/>
        <v>4.7228372886751434E-2</v>
      </c>
      <c r="E618" s="37">
        <v>4.16</v>
      </c>
      <c r="F618" s="13">
        <v>9.9600000000000009</v>
      </c>
      <c r="G618" s="13">
        <f t="shared" si="52"/>
        <v>2.3942307692307692</v>
      </c>
      <c r="H618" s="13">
        <f t="shared" si="53"/>
        <v>0.11307562354616449</v>
      </c>
    </row>
    <row r="619" spans="1:8" x14ac:dyDescent="0.25">
      <c r="A619" s="3" t="s">
        <v>565</v>
      </c>
      <c r="B619" s="10">
        <v>14543</v>
      </c>
      <c r="C619" s="23">
        <f t="shared" si="51"/>
        <v>1.465044637370475E-2</v>
      </c>
      <c r="E619" s="37">
        <v>9.16</v>
      </c>
      <c r="F619" s="13">
        <v>22.86</v>
      </c>
      <c r="G619" s="13">
        <f t="shared" si="52"/>
        <v>2.4956331877729259</v>
      </c>
      <c r="H619" s="13">
        <f t="shared" si="53"/>
        <v>3.656214018590509E-2</v>
      </c>
    </row>
    <row r="620" spans="1:8" x14ac:dyDescent="0.25">
      <c r="A620" s="3" t="s">
        <v>566</v>
      </c>
      <c r="B620" s="10">
        <v>15655</v>
      </c>
      <c r="C620" s="23">
        <f t="shared" si="51"/>
        <v>1.5770662035367384E-2</v>
      </c>
      <c r="E620" s="37">
        <v>6.47</v>
      </c>
      <c r="F620" s="13">
        <v>14.37</v>
      </c>
      <c r="G620" s="13">
        <f t="shared" si="52"/>
        <v>2.2210200927357033</v>
      </c>
      <c r="H620" s="13">
        <f t="shared" si="53"/>
        <v>3.5026957256295101E-2</v>
      </c>
    </row>
    <row r="621" spans="1:8" x14ac:dyDescent="0.25">
      <c r="A621" s="3" t="s">
        <v>567</v>
      </c>
      <c r="B621" s="10">
        <v>12797</v>
      </c>
      <c r="C621" s="23">
        <f t="shared" si="51"/>
        <v>1.2891546602784824E-2</v>
      </c>
      <c r="E621" s="37">
        <v>5.25</v>
      </c>
      <c r="F621" s="13">
        <v>14.23</v>
      </c>
      <c r="G621" s="13">
        <f t="shared" si="52"/>
        <v>2.7104761904761907</v>
      </c>
      <c r="H621" s="13">
        <f t="shared" si="53"/>
        <v>3.4942230125262486E-2</v>
      </c>
    </row>
    <row r="622" spans="1:8" x14ac:dyDescent="0.25">
      <c r="A622" s="3" t="s">
        <v>568</v>
      </c>
      <c r="B622" s="10">
        <v>19989</v>
      </c>
      <c r="C622" s="23">
        <f t="shared" si="51"/>
        <v>2.0136682428933801E-2</v>
      </c>
      <c r="E622" s="37">
        <v>2.36</v>
      </c>
      <c r="F622" s="13">
        <v>10.6</v>
      </c>
      <c r="G622" s="13">
        <f t="shared" si="52"/>
        <v>4.491525423728814</v>
      </c>
      <c r="H622" s="13">
        <f t="shared" si="53"/>
        <v>9.0444421079109452E-2</v>
      </c>
    </row>
    <row r="623" spans="1:8" x14ac:dyDescent="0.25">
      <c r="A623" s="3" t="s">
        <v>569</v>
      </c>
      <c r="B623" s="10">
        <v>19095</v>
      </c>
      <c r="C623" s="23">
        <f t="shared" si="51"/>
        <v>1.9236077391589921E-2</v>
      </c>
      <c r="E623" s="37">
        <v>6.65</v>
      </c>
      <c r="F623" s="13">
        <v>16.34</v>
      </c>
      <c r="G623" s="13">
        <f t="shared" si="52"/>
        <v>2.4571428571428569</v>
      </c>
      <c r="H623" s="13">
        <f t="shared" si="53"/>
        <v>4.7265790162192373E-2</v>
      </c>
    </row>
    <row r="624" spans="1:8" x14ac:dyDescent="0.25">
      <c r="A624" s="3" t="s">
        <v>570</v>
      </c>
      <c r="B624" s="10">
        <v>9100</v>
      </c>
      <c r="C624" s="23">
        <f t="shared" si="51"/>
        <v>9.1672324830305452E-3</v>
      </c>
      <c r="E624" s="37">
        <v>7.47</v>
      </c>
      <c r="F624" s="13">
        <v>19.41</v>
      </c>
      <c r="G624" s="13">
        <f t="shared" si="52"/>
        <v>2.5983935742971886</v>
      </c>
      <c r="H624" s="13">
        <f t="shared" si="53"/>
        <v>2.3820077977995031E-2</v>
      </c>
    </row>
    <row r="625" spans="1:8" x14ac:dyDescent="0.25">
      <c r="A625" s="3" t="s">
        <v>571</v>
      </c>
      <c r="B625" s="10">
        <v>14349</v>
      </c>
      <c r="C625" s="23">
        <f t="shared" si="51"/>
        <v>1.4455013065824758E-2</v>
      </c>
      <c r="E625" s="37">
        <v>8.64</v>
      </c>
      <c r="F625" s="13">
        <v>26.68</v>
      </c>
      <c r="G625" s="13">
        <f t="shared" si="52"/>
        <v>3.0879629629629628</v>
      </c>
      <c r="H625" s="13">
        <f t="shared" si="53"/>
        <v>4.4636544976412562E-2</v>
      </c>
    </row>
    <row r="626" spans="1:8" x14ac:dyDescent="0.25">
      <c r="A626" s="3" t="s">
        <v>572</v>
      </c>
      <c r="B626" s="10">
        <v>34717</v>
      </c>
      <c r="C626" s="23">
        <f t="shared" si="51"/>
        <v>3.4973495616854006E-2</v>
      </c>
      <c r="E626" s="37">
        <v>3.28</v>
      </c>
      <c r="F626" s="13">
        <v>17.010000000000002</v>
      </c>
      <c r="G626" s="13">
        <f t="shared" si="52"/>
        <v>5.1859756097560981</v>
      </c>
      <c r="H626" s="13">
        <f t="shared" si="53"/>
        <v>0.18137169525691668</v>
      </c>
    </row>
    <row r="627" spans="1:8" x14ac:dyDescent="0.25">
      <c r="A627" s="3" t="s">
        <v>573</v>
      </c>
      <c r="B627" s="10">
        <v>13302</v>
      </c>
      <c r="C627" s="23">
        <f t="shared" si="51"/>
        <v>1.3400277636183771E-2</v>
      </c>
      <c r="E627" s="37">
        <v>8.11</v>
      </c>
      <c r="F627" s="13">
        <v>26.25</v>
      </c>
      <c r="G627" s="13">
        <f t="shared" si="52"/>
        <v>3.2367447595561036</v>
      </c>
      <c r="H627" s="13">
        <f t="shared" si="53"/>
        <v>4.3373278415514673E-2</v>
      </c>
    </row>
    <row r="628" spans="1:8" x14ac:dyDescent="0.25">
      <c r="A628" s="3" t="s">
        <v>574</v>
      </c>
      <c r="B628" s="10">
        <v>16301</v>
      </c>
      <c r="C628" s="23">
        <f t="shared" si="51"/>
        <v>1.6421434802844057E-2</v>
      </c>
      <c r="E628" s="37">
        <v>12.02</v>
      </c>
      <c r="F628" s="13">
        <v>32.85</v>
      </c>
      <c r="G628" s="13">
        <f t="shared" si="52"/>
        <v>2.7329450915141433</v>
      </c>
      <c r="H628" s="13">
        <f t="shared" si="53"/>
        <v>4.4878879640052188E-2</v>
      </c>
    </row>
    <row r="629" spans="1:8" x14ac:dyDescent="0.25">
      <c r="A629" s="3" t="s">
        <v>575</v>
      </c>
      <c r="B629" s="10">
        <v>17309</v>
      </c>
      <c r="C629" s="23">
        <f t="shared" si="51"/>
        <v>1.7436882093272058E-2</v>
      </c>
      <c r="E629" s="37">
        <v>7.78</v>
      </c>
      <c r="F629" s="13">
        <v>27.98</v>
      </c>
      <c r="G629" s="13">
        <f t="shared" si="52"/>
        <v>3.5964010282776351</v>
      </c>
      <c r="H629" s="13">
        <f t="shared" si="53"/>
        <v>6.2710020690199514E-2</v>
      </c>
    </row>
    <row r="630" spans="1:8" x14ac:dyDescent="0.25">
      <c r="A630" s="3" t="s">
        <v>576</v>
      </c>
      <c r="B630" s="10">
        <v>11564</v>
      </c>
      <c r="C630" s="23">
        <f t="shared" si="51"/>
        <v>1.1649436970743433E-2</v>
      </c>
      <c r="E630" s="37">
        <v>11.83</v>
      </c>
      <c r="F630" s="13">
        <v>35.590000000000003</v>
      </c>
      <c r="G630" s="13">
        <f t="shared" si="52"/>
        <v>3.0084530853761624</v>
      </c>
      <c r="H630" s="13">
        <f t="shared" si="53"/>
        <v>3.5046784597528212E-2</v>
      </c>
    </row>
    <row r="631" spans="1:8" x14ac:dyDescent="0.25">
      <c r="A631" s="3" t="s">
        <v>577</v>
      </c>
      <c r="B631" s="10">
        <v>17016</v>
      </c>
      <c r="C631" s="23">
        <f t="shared" si="51"/>
        <v>1.7141717355082173E-2</v>
      </c>
      <c r="E631" s="37">
        <v>7.72</v>
      </c>
      <c r="F631" s="13">
        <v>24.55</v>
      </c>
      <c r="G631" s="13">
        <f t="shared" si="52"/>
        <v>3.1800518134715028</v>
      </c>
      <c r="H631" s="13">
        <f t="shared" si="53"/>
        <v>5.4511549361044999E-2</v>
      </c>
    </row>
    <row r="632" spans="1:8" x14ac:dyDescent="0.25">
      <c r="A632" s="3" t="s">
        <v>578</v>
      </c>
      <c r="B632" s="10">
        <v>9358</v>
      </c>
      <c r="C632" s="23">
        <f t="shared" si="51"/>
        <v>9.4271386347472355E-3</v>
      </c>
      <c r="E632" s="37">
        <v>7.64</v>
      </c>
      <c r="F632" s="13">
        <v>27.64</v>
      </c>
      <c r="G632" s="13">
        <f t="shared" si="52"/>
        <v>3.6178010471204192</v>
      </c>
      <c r="H632" s="13">
        <f t="shared" si="53"/>
        <v>3.4105512024137905E-2</v>
      </c>
    </row>
    <row r="633" spans="1:8" x14ac:dyDescent="0.25">
      <c r="A633" s="3" t="s">
        <v>579</v>
      </c>
      <c r="B633" s="10">
        <v>7055</v>
      </c>
      <c r="C633" s="23">
        <f t="shared" si="51"/>
        <v>7.1071236448110439E-3</v>
      </c>
      <c r="E633" s="37">
        <v>7.65</v>
      </c>
      <c r="F633" s="13">
        <v>22.61</v>
      </c>
      <c r="G633" s="13">
        <f t="shared" si="52"/>
        <v>2.9555555555555553</v>
      </c>
      <c r="H633" s="13">
        <f t="shared" si="53"/>
        <v>2.1005498772441528E-2</v>
      </c>
    </row>
    <row r="634" spans="1:8" x14ac:dyDescent="0.25">
      <c r="A634" s="3" t="s">
        <v>580</v>
      </c>
      <c r="B634" s="10">
        <v>6594</v>
      </c>
      <c r="C634" s="23">
        <f t="shared" si="51"/>
        <v>6.6427176915498263E-3</v>
      </c>
      <c r="E634" s="37">
        <v>4.43</v>
      </c>
      <c r="F634" s="13">
        <v>20.82</v>
      </c>
      <c r="G634" s="13">
        <f t="shared" si="52"/>
        <v>4.6997742663656892</v>
      </c>
      <c r="H634" s="13">
        <f t="shared" si="53"/>
        <v>3.121927366547797E-2</v>
      </c>
    </row>
    <row r="635" spans="1:8" x14ac:dyDescent="0.25">
      <c r="A635" s="3" t="s">
        <v>581</v>
      </c>
      <c r="B635" s="10">
        <v>17642</v>
      </c>
      <c r="C635" s="23">
        <f t="shared" si="51"/>
        <v>1.7772342358859879E-2</v>
      </c>
      <c r="E635" s="37">
        <v>8.2799999999999994</v>
      </c>
      <c r="F635" s="13">
        <v>20.36</v>
      </c>
      <c r="G635" s="13">
        <f t="shared" si="52"/>
        <v>2.4589371980676331</v>
      </c>
      <c r="H635" s="13">
        <f t="shared" si="53"/>
        <v>4.3701073722993623E-2</v>
      </c>
    </row>
    <row r="636" spans="1:8" x14ac:dyDescent="0.25">
      <c r="A636" s="3" t="s">
        <v>582</v>
      </c>
      <c r="B636" s="10">
        <v>20240</v>
      </c>
      <c r="C636" s="23">
        <f t="shared" si="51"/>
        <v>2.0389536863355852E-2</v>
      </c>
      <c r="E636" s="37">
        <v>4.9000000000000004</v>
      </c>
      <c r="F636" s="13">
        <v>12.84</v>
      </c>
      <c r="G636" s="13">
        <f t="shared" si="52"/>
        <v>2.620408163265306</v>
      </c>
      <c r="H636" s="13">
        <f t="shared" si="53"/>
        <v>5.3428908841936559E-2</v>
      </c>
    </row>
    <row r="637" spans="1:8" x14ac:dyDescent="0.25">
      <c r="A637" s="3" t="s">
        <v>583</v>
      </c>
      <c r="B637" s="10">
        <v>6329</v>
      </c>
      <c r="C637" s="23">
        <f t="shared" si="51"/>
        <v>6.3757598225384973E-3</v>
      </c>
      <c r="E637" s="37">
        <v>13.47</v>
      </c>
      <c r="F637" s="13">
        <v>26.99</v>
      </c>
      <c r="G637" s="13">
        <f t="shared" si="52"/>
        <v>2.003711952487008</v>
      </c>
      <c r="H637" s="13">
        <f t="shared" si="53"/>
        <v>1.2775186162606832E-2</v>
      </c>
    </row>
    <row r="638" spans="1:8" x14ac:dyDescent="0.25">
      <c r="A638" s="3" t="s">
        <v>584</v>
      </c>
      <c r="B638" s="10">
        <v>42297</v>
      </c>
      <c r="C638" s="23">
        <f t="shared" si="51"/>
        <v>4.2609498058762969E-2</v>
      </c>
      <c r="E638" s="37">
        <v>4.22</v>
      </c>
      <c r="F638" s="13">
        <v>13.46</v>
      </c>
      <c r="G638" s="13">
        <f t="shared" si="52"/>
        <v>3.18957345971564</v>
      </c>
      <c r="H638" s="13">
        <f t="shared" si="53"/>
        <v>0.13590612414003544</v>
      </c>
    </row>
    <row r="639" spans="1:8" x14ac:dyDescent="0.25">
      <c r="A639" s="3" t="s">
        <v>585</v>
      </c>
      <c r="B639" s="10">
        <v>10129</v>
      </c>
      <c r="C639" s="23">
        <f t="shared" si="51"/>
        <v>1.0203834925342461E-2</v>
      </c>
      <c r="E639" s="37">
        <v>6.08</v>
      </c>
      <c r="F639" s="13">
        <v>18.43</v>
      </c>
      <c r="G639" s="13">
        <f t="shared" si="52"/>
        <v>3.03125</v>
      </c>
      <c r="H639" s="13">
        <f t="shared" si="53"/>
        <v>3.0930374617444335E-2</v>
      </c>
    </row>
    <row r="640" spans="1:8" x14ac:dyDescent="0.25">
      <c r="A640" s="3" t="s">
        <v>586</v>
      </c>
      <c r="B640" s="10">
        <v>10566</v>
      </c>
      <c r="C640" s="23">
        <f t="shared" si="51"/>
        <v>1.0644063562164918E-2</v>
      </c>
      <c r="E640" s="37">
        <v>11.44</v>
      </c>
      <c r="F640" s="13">
        <v>28.53</v>
      </c>
      <c r="G640" s="13">
        <f t="shared" si="52"/>
        <v>2.4938811188811192</v>
      </c>
      <c r="H640" s="13">
        <f t="shared" si="53"/>
        <v>2.6545029145853594E-2</v>
      </c>
    </row>
    <row r="641" spans="1:8" x14ac:dyDescent="0.25">
      <c r="A641" s="3" t="s">
        <v>587</v>
      </c>
      <c r="B641" s="10">
        <v>35216</v>
      </c>
      <c r="C641" s="23">
        <f t="shared" si="51"/>
        <v>3.5476182321143267E-2</v>
      </c>
      <c r="E641" s="37">
        <v>3.63</v>
      </c>
      <c r="F641" s="13">
        <v>13.14</v>
      </c>
      <c r="G641" s="13">
        <f t="shared" si="52"/>
        <v>3.619834710743802</v>
      </c>
      <c r="H641" s="13">
        <f t="shared" si="53"/>
        <v>0.12841791617075002</v>
      </c>
    </row>
    <row r="642" spans="1:8" x14ac:dyDescent="0.25">
      <c r="A642" s="3" t="s">
        <v>588</v>
      </c>
      <c r="B642" s="10">
        <v>7887</v>
      </c>
      <c r="C642" s="23">
        <f t="shared" si="51"/>
        <v>7.9452706146881224E-3</v>
      </c>
      <c r="E642" s="37">
        <v>10.95</v>
      </c>
      <c r="F642" s="13">
        <v>23.96</v>
      </c>
      <c r="G642" s="13">
        <f t="shared" si="52"/>
        <v>2.1881278538812787</v>
      </c>
      <c r="H642" s="13">
        <f t="shared" si="53"/>
        <v>1.7385267938623508E-2</v>
      </c>
    </row>
    <row r="643" spans="1:8" x14ac:dyDescent="0.25">
      <c r="A643" s="3" t="s">
        <v>589</v>
      </c>
      <c r="B643" s="10">
        <v>9935</v>
      </c>
      <c r="C643" s="23">
        <f t="shared" si="51"/>
        <v>1.000840161746247E-2</v>
      </c>
      <c r="E643" s="37">
        <v>12.48</v>
      </c>
      <c r="F643" s="13">
        <v>26</v>
      </c>
      <c r="G643" s="13">
        <f t="shared" si="52"/>
        <v>2.0833333333333335</v>
      </c>
      <c r="H643" s="13">
        <f t="shared" si="53"/>
        <v>2.0850836703046813E-2</v>
      </c>
    </row>
    <row r="644" spans="1:8" x14ac:dyDescent="0.25">
      <c r="A644" s="3" t="s">
        <v>590</v>
      </c>
      <c r="B644" s="10">
        <v>6939</v>
      </c>
      <c r="C644" s="23">
        <f t="shared" si="51"/>
        <v>6.9902666153570285E-3</v>
      </c>
      <c r="E644" s="37">
        <v>6.97</v>
      </c>
      <c r="F644" s="13">
        <v>18.149999999999999</v>
      </c>
      <c r="G644" s="13">
        <f t="shared" si="52"/>
        <v>2.6040172166427547</v>
      </c>
      <c r="H644" s="13">
        <f t="shared" si="53"/>
        <v>1.8202774615312778E-2</v>
      </c>
    </row>
    <row r="645" spans="1:8" x14ac:dyDescent="0.25">
      <c r="A645" s="3" t="s">
        <v>591</v>
      </c>
      <c r="B645" s="10">
        <v>9934</v>
      </c>
      <c r="C645" s="23">
        <f t="shared" si="51"/>
        <v>1.0007394229277522E-2</v>
      </c>
      <c r="E645" s="37">
        <v>13.36</v>
      </c>
      <c r="F645" s="13">
        <v>28.71</v>
      </c>
      <c r="G645" s="13">
        <f t="shared" si="52"/>
        <v>2.1489520958083834</v>
      </c>
      <c r="H645" s="13">
        <f t="shared" si="53"/>
        <v>2.1505410802586652E-2</v>
      </c>
    </row>
    <row r="646" spans="1:8" x14ac:dyDescent="0.25">
      <c r="A646" s="3" t="s">
        <v>592</v>
      </c>
      <c r="B646" s="10">
        <v>8526</v>
      </c>
      <c r="C646" s="23">
        <f t="shared" si="51"/>
        <v>8.5889916648701579E-3</v>
      </c>
      <c r="E646" s="37">
        <v>11.53</v>
      </c>
      <c r="F646" s="13">
        <v>17</v>
      </c>
      <c r="G646" s="13">
        <f t="shared" si="52"/>
        <v>1.4744145706851692</v>
      </c>
      <c r="H646" s="13">
        <f t="shared" si="53"/>
        <v>1.2663734458178031E-2</v>
      </c>
    </row>
    <row r="647" spans="1:8" x14ac:dyDescent="0.25">
      <c r="A647" s="3" t="s">
        <v>593</v>
      </c>
      <c r="B647" s="10">
        <v>5978</v>
      </c>
      <c r="C647" s="23">
        <f t="shared" si="51"/>
        <v>6.0221665696216049E-3</v>
      </c>
      <c r="E647" s="37">
        <v>12.49</v>
      </c>
      <c r="F647" s="13">
        <v>23.05</v>
      </c>
      <c r="G647" s="13">
        <f t="shared" si="52"/>
        <v>1.845476381104884</v>
      </c>
      <c r="H647" s="13">
        <f t="shared" si="53"/>
        <v>1.1113766167316092E-2</v>
      </c>
    </row>
    <row r="648" spans="1:8" x14ac:dyDescent="0.25">
      <c r="A648" s="3" t="s">
        <v>594</v>
      </c>
      <c r="B648" s="10">
        <v>25583</v>
      </c>
      <c r="C648" s="23">
        <f t="shared" si="51"/>
        <v>2.5772011935535216E-2</v>
      </c>
      <c r="E648" s="37">
        <v>4.62</v>
      </c>
      <c r="F648" s="13">
        <v>12.62</v>
      </c>
      <c r="G648" s="13">
        <f t="shared" si="52"/>
        <v>2.7316017316017316</v>
      </c>
      <c r="H648" s="13">
        <f t="shared" si="53"/>
        <v>7.0398872429968493E-2</v>
      </c>
    </row>
    <row r="649" spans="1:8" x14ac:dyDescent="0.25">
      <c r="A649" s="3" t="s">
        <v>595</v>
      </c>
      <c r="B649" s="10">
        <v>12160</v>
      </c>
      <c r="C649" s="23">
        <f t="shared" si="51"/>
        <v>1.2249840328972686E-2</v>
      </c>
      <c r="E649" s="37">
        <v>15.43</v>
      </c>
      <c r="F649" s="13">
        <v>29.34</v>
      </c>
      <c r="G649" s="13">
        <f t="shared" si="52"/>
        <v>1.9014906027219702</v>
      </c>
      <c r="H649" s="13">
        <f t="shared" si="53"/>
        <v>2.3292956270386168E-2</v>
      </c>
    </row>
    <row r="650" spans="1:8" x14ac:dyDescent="0.25">
      <c r="A650" s="20" t="s">
        <v>0</v>
      </c>
      <c r="B650" s="21">
        <f>SUM(B598:B649)</f>
        <v>992666</v>
      </c>
      <c r="C650" s="22">
        <f t="shared" si="51"/>
        <v>1</v>
      </c>
      <c r="D650" s="18"/>
      <c r="E650" s="18"/>
      <c r="F650" s="18"/>
      <c r="G650" s="39"/>
      <c r="H650" s="19">
        <f>SUM(H598:H649)</f>
        <v>2.8701509379716295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CA07B-8A94-4B7D-993C-0B783CC4BE1A}">
  <dimension ref="A1:I650"/>
  <sheetViews>
    <sheetView workbookViewId="0">
      <selection activeCell="A6" sqref="A6"/>
    </sheetView>
  </sheetViews>
  <sheetFormatPr baseColWidth="10" defaultColWidth="11.28515625" defaultRowHeight="15" x14ac:dyDescent="0.25"/>
  <cols>
    <col min="1" max="1" width="22.42578125" style="3" customWidth="1"/>
    <col min="2" max="2" width="17.28515625" style="3" customWidth="1"/>
    <col min="3" max="3" width="17.42578125" style="3" customWidth="1"/>
    <col min="4" max="4" width="2.85546875" style="3" customWidth="1"/>
    <col min="5" max="5" width="11.28515625" style="3"/>
    <col min="6" max="6" width="17.28515625" style="3" customWidth="1"/>
    <col min="7" max="16384" width="11.28515625" style="3"/>
  </cols>
  <sheetData>
    <row r="1" spans="1:6" ht="75" x14ac:dyDescent="0.25">
      <c r="A1" s="7"/>
      <c r="B1" s="7" t="s">
        <v>597</v>
      </c>
      <c r="C1" s="7" t="s">
        <v>598</v>
      </c>
      <c r="D1" s="8"/>
      <c r="E1" s="7" t="s">
        <v>600</v>
      </c>
      <c r="F1" s="7" t="s">
        <v>907</v>
      </c>
    </row>
    <row r="2" spans="1:6" x14ac:dyDescent="0.25">
      <c r="A2" s="9" t="s">
        <v>942</v>
      </c>
    </row>
    <row r="3" spans="1:6" x14ac:dyDescent="0.25">
      <c r="A3" s="3" t="s">
        <v>1</v>
      </c>
      <c r="B3" s="10">
        <v>10893</v>
      </c>
      <c r="C3" s="11">
        <f t="shared" ref="C3:C10" si="0">B3/B$10</f>
        <v>9.46698765024378E-2</v>
      </c>
      <c r="E3" s="13">
        <v>30.58</v>
      </c>
      <c r="F3" s="13">
        <f t="shared" ref="F3:F9" si="1">E3*C3</f>
        <v>2.8950048234445478</v>
      </c>
    </row>
    <row r="4" spans="1:6" x14ac:dyDescent="0.25">
      <c r="A4" s="3" t="s">
        <v>2</v>
      </c>
      <c r="B4" s="10">
        <v>21695</v>
      </c>
      <c r="C4" s="11">
        <f t="shared" si="0"/>
        <v>0.18854888191686295</v>
      </c>
      <c r="E4" s="13">
        <v>15.71</v>
      </c>
      <c r="F4" s="13">
        <f t="shared" si="1"/>
        <v>2.9621029349139172</v>
      </c>
    </row>
    <row r="5" spans="1:6" x14ac:dyDescent="0.25">
      <c r="A5" s="3" t="s">
        <v>3</v>
      </c>
      <c r="B5" s="10">
        <v>11452</v>
      </c>
      <c r="C5" s="11">
        <f t="shared" si="0"/>
        <v>9.9528084614515525E-2</v>
      </c>
      <c r="E5" s="13">
        <v>26.56</v>
      </c>
      <c r="F5" s="13">
        <f t="shared" si="1"/>
        <v>2.6434659273615324</v>
      </c>
    </row>
    <row r="6" spans="1:6" x14ac:dyDescent="0.25">
      <c r="A6" s="3" t="s">
        <v>4</v>
      </c>
      <c r="B6" s="10">
        <v>16306</v>
      </c>
      <c r="C6" s="11">
        <f t="shared" si="0"/>
        <v>0.14171366990257511</v>
      </c>
      <c r="E6" s="13">
        <v>21.2</v>
      </c>
      <c r="F6" s="13">
        <f t="shared" si="1"/>
        <v>3.0043298019345923</v>
      </c>
    </row>
    <row r="7" spans="1:6" x14ac:dyDescent="0.25">
      <c r="A7" s="3" t="s">
        <v>5</v>
      </c>
      <c r="B7" s="10">
        <v>36473</v>
      </c>
      <c r="C7" s="11">
        <f t="shared" si="0"/>
        <v>0.3169828702536871</v>
      </c>
      <c r="E7" s="13">
        <v>10.33</v>
      </c>
      <c r="F7" s="13">
        <f t="shared" si="1"/>
        <v>3.2744330497205878</v>
      </c>
    </row>
    <row r="8" spans="1:6" x14ac:dyDescent="0.25">
      <c r="A8" s="3" t="s">
        <v>6</v>
      </c>
      <c r="B8" s="10">
        <v>5636</v>
      </c>
      <c r="C8" s="11">
        <f t="shared" si="0"/>
        <v>4.8981862110322169E-2</v>
      </c>
      <c r="E8" s="13">
        <v>43.4</v>
      </c>
      <c r="F8" s="13">
        <f t="shared" si="1"/>
        <v>2.1258128155879819</v>
      </c>
    </row>
    <row r="9" spans="1:6" x14ac:dyDescent="0.25">
      <c r="A9" s="14" t="s">
        <v>7</v>
      </c>
      <c r="B9" s="15">
        <v>12608</v>
      </c>
      <c r="C9" s="16">
        <f t="shared" si="0"/>
        <v>0.10957475469959935</v>
      </c>
      <c r="D9" s="14"/>
      <c r="E9" s="13">
        <v>19.690000000000001</v>
      </c>
      <c r="F9" s="13">
        <f t="shared" si="1"/>
        <v>2.1575269200351115</v>
      </c>
    </row>
    <row r="10" spans="1:6" x14ac:dyDescent="0.25">
      <c r="A10" s="17" t="s">
        <v>0</v>
      </c>
      <c r="B10" s="10">
        <f>SUM(B3:B9)</f>
        <v>115063</v>
      </c>
      <c r="C10" s="11">
        <f t="shared" si="0"/>
        <v>1</v>
      </c>
      <c r="E10" s="18"/>
      <c r="F10" s="19">
        <f>SUM(F3:F9)</f>
        <v>19.062676272998267</v>
      </c>
    </row>
    <row r="13" spans="1:6" x14ac:dyDescent="0.25">
      <c r="A13" s="9" t="s">
        <v>943</v>
      </c>
    </row>
    <row r="14" spans="1:6" x14ac:dyDescent="0.25">
      <c r="A14" s="3" t="s">
        <v>8</v>
      </c>
      <c r="B14" s="10">
        <v>19684</v>
      </c>
      <c r="C14" s="11">
        <f>B14/B$21</f>
        <v>0.16245749562576342</v>
      </c>
      <c r="E14" s="13">
        <v>24.32</v>
      </c>
      <c r="F14" s="13">
        <f t="shared" ref="F14:F20" si="2">E14*C14</f>
        <v>3.9509662936185665</v>
      </c>
    </row>
    <row r="15" spans="1:6" x14ac:dyDescent="0.25">
      <c r="A15" s="3" t="s">
        <v>9</v>
      </c>
      <c r="B15" s="10">
        <v>28573</v>
      </c>
      <c r="C15" s="11">
        <f t="shared" ref="C15:C21" si="3">B15/B$21</f>
        <v>0.23582087088574163</v>
      </c>
      <c r="E15" s="13">
        <v>11.95</v>
      </c>
      <c r="F15" s="13">
        <f t="shared" si="2"/>
        <v>2.8180594070846126</v>
      </c>
    </row>
    <row r="16" spans="1:6" x14ac:dyDescent="0.25">
      <c r="A16" s="3" t="s">
        <v>10</v>
      </c>
      <c r="B16" s="10">
        <v>36024</v>
      </c>
      <c r="C16" s="11">
        <f t="shared" si="3"/>
        <v>0.29731603446568289</v>
      </c>
      <c r="E16" s="13">
        <v>19.149999999999999</v>
      </c>
      <c r="F16" s="13">
        <f t="shared" si="2"/>
        <v>5.6936020600178265</v>
      </c>
    </row>
    <row r="17" spans="1:6" x14ac:dyDescent="0.25">
      <c r="A17" s="3" t="s">
        <v>11</v>
      </c>
      <c r="B17" s="10">
        <v>7966</v>
      </c>
      <c r="C17" s="11">
        <f t="shared" si="3"/>
        <v>6.5745601003598428E-2</v>
      </c>
      <c r="E17" s="13">
        <v>36.799999999999997</v>
      </c>
      <c r="F17" s="13">
        <f t="shared" si="2"/>
        <v>2.4194381169324219</v>
      </c>
    </row>
    <row r="18" spans="1:6" x14ac:dyDescent="0.25">
      <c r="A18" s="3" t="s">
        <v>12</v>
      </c>
      <c r="B18" s="10">
        <v>6177</v>
      </c>
      <c r="C18" s="11">
        <f t="shared" si="3"/>
        <v>5.0980489254233929E-2</v>
      </c>
      <c r="E18" s="13">
        <v>31.34</v>
      </c>
      <c r="F18" s="13">
        <f t="shared" si="2"/>
        <v>1.5977285332276914</v>
      </c>
    </row>
    <row r="19" spans="1:6" x14ac:dyDescent="0.25">
      <c r="A19" s="3" t="s">
        <v>13</v>
      </c>
      <c r="B19" s="10">
        <v>14942</v>
      </c>
      <c r="C19" s="11">
        <f t="shared" si="3"/>
        <v>0.12332045822191411</v>
      </c>
      <c r="E19" s="13">
        <v>23.63</v>
      </c>
      <c r="F19" s="13">
        <f t="shared" si="2"/>
        <v>2.9140624277838301</v>
      </c>
    </row>
    <row r="20" spans="1:6" x14ac:dyDescent="0.25">
      <c r="A20" s="3" t="s">
        <v>14</v>
      </c>
      <c r="B20" s="10">
        <v>7798</v>
      </c>
      <c r="C20" s="11">
        <f t="shared" si="3"/>
        <v>6.4359050543065593E-2</v>
      </c>
      <c r="E20" s="13">
        <v>25.18</v>
      </c>
      <c r="F20" s="13">
        <f t="shared" si="2"/>
        <v>1.6205608926743915</v>
      </c>
    </row>
    <row r="21" spans="1:6" x14ac:dyDescent="0.25">
      <c r="A21" s="20" t="s">
        <v>0</v>
      </c>
      <c r="B21" s="21">
        <f>SUM(B14:B20)</f>
        <v>121164</v>
      </c>
      <c r="C21" s="22">
        <f t="shared" si="3"/>
        <v>1</v>
      </c>
      <c r="D21" s="18"/>
      <c r="E21" s="18"/>
      <c r="F21" s="19">
        <f>SUM(F14:F20)</f>
        <v>21.014417731339339</v>
      </c>
    </row>
    <row r="24" spans="1:6" x14ac:dyDescent="0.25">
      <c r="A24" s="9" t="s">
        <v>944</v>
      </c>
    </row>
    <row r="25" spans="1:6" x14ac:dyDescent="0.25">
      <c r="A25" s="3" t="s">
        <v>15</v>
      </c>
      <c r="B25" s="10">
        <v>11799</v>
      </c>
      <c r="C25" s="11">
        <f t="shared" ref="C25:C38" si="4">B25/B$39</f>
        <v>4.0558796332899064E-2</v>
      </c>
      <c r="E25" s="13">
        <v>36.83</v>
      </c>
      <c r="F25" s="13">
        <f t="shared" ref="F25:F38" si="5">E25*C25</f>
        <v>1.4937804689406724</v>
      </c>
    </row>
    <row r="26" spans="1:6" x14ac:dyDescent="0.25">
      <c r="A26" s="3" t="s">
        <v>16</v>
      </c>
      <c r="B26" s="10">
        <v>23881</v>
      </c>
      <c r="C26" s="11">
        <f t="shared" si="4"/>
        <v>8.2090398781758001E-2</v>
      </c>
      <c r="E26" s="13">
        <v>12.37</v>
      </c>
      <c r="F26" s="13">
        <f t="shared" si="5"/>
        <v>1.0154582329303463</v>
      </c>
    </row>
    <row r="27" spans="1:6" x14ac:dyDescent="0.25">
      <c r="A27" s="3" t="s">
        <v>17</v>
      </c>
      <c r="B27" s="10">
        <v>13723</v>
      </c>
      <c r="C27" s="11">
        <f t="shared" si="4"/>
        <v>4.7172502930449521E-2</v>
      </c>
      <c r="E27" s="13">
        <v>23.1</v>
      </c>
      <c r="F27" s="13">
        <f t="shared" si="5"/>
        <v>1.089684817693384</v>
      </c>
    </row>
    <row r="28" spans="1:6" x14ac:dyDescent="0.25">
      <c r="A28" s="3" t="s">
        <v>18</v>
      </c>
      <c r="B28" s="10">
        <v>29082</v>
      </c>
      <c r="C28" s="11">
        <f t="shared" si="4"/>
        <v>9.9968718955281852E-2</v>
      </c>
      <c r="E28" s="13">
        <v>16.98</v>
      </c>
      <c r="F28" s="13">
        <f t="shared" si="5"/>
        <v>1.6974688478606859</v>
      </c>
    </row>
    <row r="29" spans="1:6" x14ac:dyDescent="0.25">
      <c r="A29" s="3" t="s">
        <v>19</v>
      </c>
      <c r="B29" s="10">
        <v>94169</v>
      </c>
      <c r="C29" s="11">
        <f t="shared" si="4"/>
        <v>0.32370381319372593</v>
      </c>
      <c r="E29" s="13">
        <v>10.95</v>
      </c>
      <c r="F29" s="13">
        <f t="shared" si="5"/>
        <v>3.5445567544712988</v>
      </c>
    </row>
    <row r="30" spans="1:6" x14ac:dyDescent="0.25">
      <c r="A30" s="3" t="s">
        <v>20</v>
      </c>
      <c r="B30" s="10">
        <v>8533</v>
      </c>
      <c r="C30" s="11">
        <f t="shared" si="4"/>
        <v>2.9331995008782755E-2</v>
      </c>
      <c r="E30" s="13">
        <v>27.72</v>
      </c>
      <c r="F30" s="13">
        <f t="shared" si="5"/>
        <v>0.81308290164345798</v>
      </c>
    </row>
    <row r="31" spans="1:6" x14ac:dyDescent="0.25">
      <c r="A31" s="3" t="s">
        <v>21</v>
      </c>
      <c r="B31" s="10">
        <v>33489</v>
      </c>
      <c r="C31" s="11">
        <f t="shared" si="4"/>
        <v>0.11511768204021161</v>
      </c>
      <c r="E31" s="13">
        <v>15.53</v>
      </c>
      <c r="F31" s="13">
        <f t="shared" si="5"/>
        <v>1.7877776020844862</v>
      </c>
    </row>
    <row r="32" spans="1:6" x14ac:dyDescent="0.25">
      <c r="A32" s="3" t="s">
        <v>22</v>
      </c>
      <c r="B32" s="10">
        <v>10653</v>
      </c>
      <c r="C32" s="11">
        <f t="shared" si="4"/>
        <v>3.6619447184877849E-2</v>
      </c>
      <c r="E32" s="13">
        <v>37.450000000000003</v>
      </c>
      <c r="F32" s="13">
        <f t="shared" si="5"/>
        <v>1.3713982970736756</v>
      </c>
    </row>
    <row r="33" spans="1:9" x14ac:dyDescent="0.25">
      <c r="A33" s="3" t="s">
        <v>23</v>
      </c>
      <c r="B33" s="10">
        <v>9222</v>
      </c>
      <c r="C33" s="11">
        <f t="shared" si="4"/>
        <v>3.170041696601366E-2</v>
      </c>
      <c r="E33" s="13">
        <v>33.81</v>
      </c>
      <c r="F33" s="13">
        <f t="shared" si="5"/>
        <v>1.071791097620922</v>
      </c>
    </row>
    <row r="34" spans="1:9" x14ac:dyDescent="0.25">
      <c r="A34" s="3" t="s">
        <v>24</v>
      </c>
      <c r="B34" s="10">
        <v>10338</v>
      </c>
      <c r="C34" s="11">
        <f t="shared" si="4"/>
        <v>3.5536641790788248E-2</v>
      </c>
      <c r="E34" s="13">
        <v>36.74</v>
      </c>
      <c r="F34" s="13">
        <f t="shared" si="5"/>
        <v>1.3056162193935603</v>
      </c>
    </row>
    <row r="35" spans="1:9" x14ac:dyDescent="0.25">
      <c r="A35" s="3" t="s">
        <v>25</v>
      </c>
      <c r="B35" s="10">
        <v>15061</v>
      </c>
      <c r="C35" s="11">
        <f t="shared" si="4"/>
        <v>5.1771847747249161E-2</v>
      </c>
      <c r="E35" s="13">
        <v>37.01</v>
      </c>
      <c r="F35" s="13">
        <f t="shared" si="5"/>
        <v>1.9160760851256913</v>
      </c>
    </row>
    <row r="36" spans="1:9" x14ac:dyDescent="0.25">
      <c r="A36" s="3" t="s">
        <v>26</v>
      </c>
      <c r="B36" s="10">
        <v>14835</v>
      </c>
      <c r="C36" s="11">
        <f t="shared" si="4"/>
        <v>5.0994977845457888E-2</v>
      </c>
      <c r="E36" s="13">
        <v>43.11</v>
      </c>
      <c r="F36" s="13">
        <f t="shared" si="5"/>
        <v>2.1983934949176893</v>
      </c>
    </row>
    <row r="37" spans="1:9" x14ac:dyDescent="0.25">
      <c r="A37" s="3" t="s">
        <v>27</v>
      </c>
      <c r="B37" s="10">
        <v>9290</v>
      </c>
      <c r="C37" s="11">
        <f t="shared" si="4"/>
        <v>3.1934165432039349E-2</v>
      </c>
      <c r="E37" s="13">
        <v>30.81</v>
      </c>
      <c r="F37" s="13">
        <f t="shared" si="5"/>
        <v>0.98389163696113235</v>
      </c>
    </row>
    <row r="38" spans="1:9" x14ac:dyDescent="0.25">
      <c r="A38" s="3" t="s">
        <v>28</v>
      </c>
      <c r="B38" s="10">
        <v>6836</v>
      </c>
      <c r="C38" s="11">
        <f t="shared" si="4"/>
        <v>2.3498595790465125E-2</v>
      </c>
      <c r="E38" s="13">
        <v>28.07</v>
      </c>
      <c r="F38" s="13">
        <f t="shared" si="5"/>
        <v>0.6596055838383561</v>
      </c>
    </row>
    <row r="39" spans="1:9" x14ac:dyDescent="0.25">
      <c r="A39" s="20" t="s">
        <v>0</v>
      </c>
      <c r="B39" s="21">
        <f>SUM(B25:B38)</f>
        <v>290911</v>
      </c>
      <c r="C39" s="22">
        <f>B39/B$39</f>
        <v>1</v>
      </c>
      <c r="D39" s="18"/>
      <c r="E39" s="18"/>
      <c r="F39" s="19">
        <f>SUM(F25:F38)</f>
        <v>20.948582040555355</v>
      </c>
    </row>
    <row r="42" spans="1:9" x14ac:dyDescent="0.25">
      <c r="A42" s="9" t="s">
        <v>945</v>
      </c>
    </row>
    <row r="43" spans="1:9" x14ac:dyDescent="0.25">
      <c r="A43" s="3" t="s">
        <v>29</v>
      </c>
      <c r="B43" s="10">
        <v>13368</v>
      </c>
      <c r="C43" s="23">
        <f>B43/B$114</f>
        <v>8.0794063981307618E-3</v>
      </c>
      <c r="E43" s="13">
        <v>5.56</v>
      </c>
      <c r="F43" s="13">
        <f t="shared" ref="F43:F106" si="6">E43*C43</f>
        <v>4.4921499573607034E-2</v>
      </c>
      <c r="I43" s="24"/>
    </row>
    <row r="44" spans="1:9" x14ac:dyDescent="0.25">
      <c r="A44" s="3" t="s">
        <v>30</v>
      </c>
      <c r="B44" s="10">
        <v>12014</v>
      </c>
      <c r="C44" s="23">
        <f t="shared" ref="C44:C108" si="7">B44/B$114</f>
        <v>7.2610703521202094E-3</v>
      </c>
      <c r="E44" s="13">
        <v>19.84</v>
      </c>
      <c r="F44" s="13">
        <f t="shared" si="6"/>
        <v>0.14405963578606495</v>
      </c>
    </row>
    <row r="45" spans="1:9" x14ac:dyDescent="0.25">
      <c r="A45" s="3" t="s">
        <v>31</v>
      </c>
      <c r="B45" s="10">
        <v>19946</v>
      </c>
      <c r="C45" s="23">
        <f t="shared" si="7"/>
        <v>1.2055044884583794E-2</v>
      </c>
      <c r="E45" s="13">
        <v>11.54</v>
      </c>
      <c r="F45" s="13">
        <f t="shared" si="6"/>
        <v>0.13911521796809698</v>
      </c>
    </row>
    <row r="46" spans="1:9" x14ac:dyDescent="0.25">
      <c r="A46" s="3" t="s">
        <v>32</v>
      </c>
      <c r="B46" s="10">
        <v>13416</v>
      </c>
      <c r="C46" s="23">
        <f t="shared" si="7"/>
        <v>8.108416834030692E-3</v>
      </c>
      <c r="E46" s="13">
        <v>28.5</v>
      </c>
      <c r="F46" s="13">
        <f t="shared" si="6"/>
        <v>0.23108987976987472</v>
      </c>
    </row>
    <row r="47" spans="1:9" x14ac:dyDescent="0.25">
      <c r="A47" s="3" t="s">
        <v>33</v>
      </c>
      <c r="B47" s="10">
        <f>'[1]Hilfsrechn. Gemeindeverz.'!C55</f>
        <v>6571</v>
      </c>
      <c r="C47" s="23">
        <f t="shared" si="7"/>
        <v>3.9714077978842931E-3</v>
      </c>
      <c r="E47" s="13">
        <v>23.83</v>
      </c>
      <c r="F47" s="13">
        <f t="shared" si="6"/>
        <v>9.4638647823582694E-2</v>
      </c>
    </row>
    <row r="48" spans="1:9" x14ac:dyDescent="0.25">
      <c r="A48" s="3" t="s">
        <v>34</v>
      </c>
      <c r="B48" s="10">
        <f>'[1]Hilfsrechn. Gemeindeverz.'!D55</f>
        <v>10893</v>
      </c>
      <c r="C48" s="23">
        <f t="shared" si="7"/>
        <v>6.5835557970405729E-3</v>
      </c>
      <c r="E48" s="13">
        <v>10.88</v>
      </c>
      <c r="F48" s="13">
        <f t="shared" si="6"/>
        <v>7.1629087071801434E-2</v>
      </c>
    </row>
    <row r="49" spans="1:6" x14ac:dyDescent="0.25">
      <c r="A49" s="3" t="s">
        <v>35</v>
      </c>
      <c r="B49" s="10">
        <v>19265</v>
      </c>
      <c r="C49" s="23">
        <f t="shared" si="7"/>
        <v>1.1643459325253524E-2</v>
      </c>
      <c r="E49" s="13">
        <v>11.46</v>
      </c>
      <c r="F49" s="13">
        <f t="shared" si="6"/>
        <v>0.1334340438674054</v>
      </c>
    </row>
    <row r="50" spans="1:6" x14ac:dyDescent="0.25">
      <c r="A50" s="3" t="s">
        <v>36</v>
      </c>
      <c r="B50" s="10">
        <v>25179</v>
      </c>
      <c r="C50" s="23">
        <f t="shared" si="7"/>
        <v>1.5217786781757513E-2</v>
      </c>
      <c r="E50" s="13">
        <v>24.88</v>
      </c>
      <c r="F50" s="13">
        <f t="shared" si="6"/>
        <v>0.37861853513012694</v>
      </c>
    </row>
    <row r="51" spans="1:6" x14ac:dyDescent="0.25">
      <c r="A51" s="3" t="s">
        <v>37</v>
      </c>
      <c r="B51" s="10">
        <v>13531</v>
      </c>
      <c r="C51" s="23">
        <f t="shared" si="7"/>
        <v>8.177921003374276E-3</v>
      </c>
      <c r="E51" s="13">
        <v>26.9</v>
      </c>
      <c r="F51" s="13">
        <f t="shared" si="6"/>
        <v>0.219986074990768</v>
      </c>
    </row>
    <row r="52" spans="1:6" x14ac:dyDescent="0.25">
      <c r="A52" s="3" t="s">
        <v>38</v>
      </c>
      <c r="B52" s="10">
        <v>10810</v>
      </c>
      <c r="C52" s="23">
        <f t="shared" si="7"/>
        <v>6.5333919182969423E-3</v>
      </c>
      <c r="E52" s="13">
        <v>34.11</v>
      </c>
      <c r="F52" s="13">
        <f t="shared" si="6"/>
        <v>0.2228539983331087</v>
      </c>
    </row>
    <row r="53" spans="1:6" x14ac:dyDescent="0.25">
      <c r="A53" s="3" t="s">
        <v>39</v>
      </c>
      <c r="B53" s="10">
        <v>12114</v>
      </c>
      <c r="C53" s="23">
        <f t="shared" si="7"/>
        <v>7.3215087602450657E-3</v>
      </c>
      <c r="E53" s="13">
        <v>26.54</v>
      </c>
      <c r="F53" s="13">
        <f t="shared" si="6"/>
        <v>0.19431284249690403</v>
      </c>
    </row>
    <row r="54" spans="1:6" x14ac:dyDescent="0.25">
      <c r="A54" s="3" t="s">
        <v>40</v>
      </c>
      <c r="B54" s="10">
        <v>29925</v>
      </c>
      <c r="C54" s="23">
        <f t="shared" si="7"/>
        <v>1.8086193631363181E-2</v>
      </c>
      <c r="E54" s="13">
        <v>24.87</v>
      </c>
      <c r="F54" s="13">
        <f t="shared" si="6"/>
        <v>0.44980363561200232</v>
      </c>
    </row>
    <row r="55" spans="1:6" x14ac:dyDescent="0.25">
      <c r="A55" s="3" t="s">
        <v>41</v>
      </c>
      <c r="B55" s="10">
        <v>21712</v>
      </c>
      <c r="C55" s="23">
        <f t="shared" si="7"/>
        <v>1.3122387172068753E-2</v>
      </c>
      <c r="E55" s="13">
        <v>27.81</v>
      </c>
      <c r="F55" s="13">
        <f t="shared" si="6"/>
        <v>0.36493358725523201</v>
      </c>
    </row>
    <row r="56" spans="1:6" x14ac:dyDescent="0.25">
      <c r="A56" s="3" t="s">
        <v>42</v>
      </c>
      <c r="B56" s="10">
        <v>18818</v>
      </c>
      <c r="C56" s="23">
        <f t="shared" si="7"/>
        <v>1.1373299640935417E-2</v>
      </c>
      <c r="E56" s="13">
        <v>11.16</v>
      </c>
      <c r="F56" s="13">
        <f t="shared" si="6"/>
        <v>0.12692602399283925</v>
      </c>
    </row>
    <row r="57" spans="1:6" x14ac:dyDescent="0.25">
      <c r="A57" s="3" t="s">
        <v>43</v>
      </c>
      <c r="B57" s="10">
        <v>14057</v>
      </c>
      <c r="C57" s="23">
        <f t="shared" si="7"/>
        <v>8.4958270301110188E-3</v>
      </c>
      <c r="E57" s="13">
        <v>12.44</v>
      </c>
      <c r="F57" s="13">
        <f t="shared" si="6"/>
        <v>0.10568808825458106</v>
      </c>
    </row>
    <row r="58" spans="1:6" x14ac:dyDescent="0.25">
      <c r="A58" s="3" t="s">
        <v>44</v>
      </c>
      <c r="B58" s="10">
        <v>20387</v>
      </c>
      <c r="C58" s="23">
        <f t="shared" si="7"/>
        <v>1.2321578264414408E-2</v>
      </c>
      <c r="E58" s="13">
        <v>5.27</v>
      </c>
      <c r="F58" s="13">
        <f t="shared" si="6"/>
        <v>6.4934717453463922E-2</v>
      </c>
    </row>
    <row r="59" spans="1:6" x14ac:dyDescent="0.25">
      <c r="A59" s="3" t="s">
        <v>45</v>
      </c>
      <c r="B59" s="10">
        <v>11825</v>
      </c>
      <c r="C59" s="23">
        <f t="shared" si="7"/>
        <v>7.1468417607642313E-3</v>
      </c>
      <c r="E59" s="13">
        <v>24.62</v>
      </c>
      <c r="F59" s="13">
        <f t="shared" si="6"/>
        <v>0.17595524415001537</v>
      </c>
    </row>
    <row r="60" spans="1:6" x14ac:dyDescent="0.25">
      <c r="A60" s="3" t="s">
        <v>46</v>
      </c>
      <c r="B60" s="10">
        <v>15676</v>
      </c>
      <c r="C60" s="23">
        <f t="shared" si="7"/>
        <v>9.4743248576524396E-3</v>
      </c>
      <c r="E60" s="13">
        <v>25.65</v>
      </c>
      <c r="F60" s="13">
        <f t="shared" si="6"/>
        <v>0.24301643259878505</v>
      </c>
    </row>
    <row r="61" spans="1:6" x14ac:dyDescent="0.25">
      <c r="A61" s="3" t="s">
        <v>47</v>
      </c>
      <c r="B61" s="10">
        <v>12257</v>
      </c>
      <c r="C61" s="23">
        <f t="shared" si="7"/>
        <v>7.4079356838636099E-3</v>
      </c>
      <c r="E61" s="13">
        <v>34.049999999999997</v>
      </c>
      <c r="F61" s="13">
        <f t="shared" si="6"/>
        <v>0.25224021003555591</v>
      </c>
    </row>
    <row r="62" spans="1:6" x14ac:dyDescent="0.25">
      <c r="A62" s="3" t="s">
        <v>48</v>
      </c>
      <c r="B62" s="10">
        <v>10037</v>
      </c>
      <c r="C62" s="23">
        <f t="shared" si="7"/>
        <v>6.0662030234918049E-3</v>
      </c>
      <c r="E62" s="13">
        <v>28.72</v>
      </c>
      <c r="F62" s="13">
        <f t="shared" si="6"/>
        <v>0.17422135083468462</v>
      </c>
    </row>
    <row r="63" spans="1:6" x14ac:dyDescent="0.25">
      <c r="A63" s="3" t="s">
        <v>49</v>
      </c>
      <c r="B63" s="10">
        <v>31489</v>
      </c>
      <c r="C63" s="23">
        <f t="shared" si="7"/>
        <v>1.9031450334435932E-2</v>
      </c>
      <c r="E63" s="13">
        <v>16.55</v>
      </c>
      <c r="F63" s="13">
        <f t="shared" si="6"/>
        <v>0.3149705030349147</v>
      </c>
    </row>
    <row r="64" spans="1:6" x14ac:dyDescent="0.25">
      <c r="A64" s="3" t="s">
        <v>50</v>
      </c>
      <c r="B64" s="10">
        <v>21099</v>
      </c>
      <c r="C64" s="23">
        <f t="shared" si="7"/>
        <v>1.2751899730263385E-2</v>
      </c>
      <c r="E64" s="13">
        <v>10.76</v>
      </c>
      <c r="F64" s="13">
        <f t="shared" si="6"/>
        <v>0.13721044109763403</v>
      </c>
    </row>
    <row r="65" spans="1:6" x14ac:dyDescent="0.25">
      <c r="A65" s="3" t="s">
        <v>51</v>
      </c>
      <c r="B65" s="10">
        <v>18350</v>
      </c>
      <c r="C65" s="23">
        <f t="shared" si="7"/>
        <v>1.1090447890911091E-2</v>
      </c>
      <c r="E65" s="13">
        <v>10.96</v>
      </c>
      <c r="F65" s="13">
        <f t="shared" si="6"/>
        <v>0.12155130888438558</v>
      </c>
    </row>
    <row r="66" spans="1:6" x14ac:dyDescent="0.25">
      <c r="A66" s="3" t="s">
        <v>52</v>
      </c>
      <c r="B66" s="10">
        <v>13918</v>
      </c>
      <c r="C66" s="23">
        <f t="shared" si="7"/>
        <v>8.4118176428174696E-3</v>
      </c>
      <c r="E66" s="13">
        <v>23.76</v>
      </c>
      <c r="F66" s="13">
        <f t="shared" si="6"/>
        <v>0.19986478719334308</v>
      </c>
    </row>
    <row r="67" spans="1:6" x14ac:dyDescent="0.25">
      <c r="A67" s="3" t="s">
        <v>53</v>
      </c>
      <c r="B67" s="10">
        <v>10811</v>
      </c>
      <c r="C67" s="23">
        <f t="shared" si="7"/>
        <v>6.5339963023781913E-3</v>
      </c>
      <c r="E67" s="13">
        <v>21.51</v>
      </c>
      <c r="F67" s="13">
        <f t="shared" si="6"/>
        <v>0.14054626046415492</v>
      </c>
    </row>
    <row r="68" spans="1:6" x14ac:dyDescent="0.25">
      <c r="A68" s="3" t="s">
        <v>54</v>
      </c>
      <c r="B68" s="10">
        <v>17414</v>
      </c>
      <c r="C68" s="23">
        <f t="shared" si="7"/>
        <v>1.0524744390862439E-2</v>
      </c>
      <c r="E68" s="13">
        <v>22.74</v>
      </c>
      <c r="F68" s="13">
        <f t="shared" si="6"/>
        <v>0.23933268744821184</v>
      </c>
    </row>
    <row r="69" spans="1:6" x14ac:dyDescent="0.25">
      <c r="A69" s="3" t="s">
        <v>55</v>
      </c>
      <c r="B69" s="10">
        <v>16528</v>
      </c>
      <c r="C69" s="23">
        <f t="shared" si="7"/>
        <v>9.9892600948762126E-3</v>
      </c>
      <c r="E69" s="13">
        <v>9.06</v>
      </c>
      <c r="F69" s="13">
        <f t="shared" si="6"/>
        <v>9.0502696459578494E-2</v>
      </c>
    </row>
    <row r="70" spans="1:6" x14ac:dyDescent="0.25">
      <c r="A70" s="3" t="s">
        <v>56</v>
      </c>
      <c r="B70" s="10">
        <v>17103</v>
      </c>
      <c r="C70" s="23">
        <f t="shared" si="7"/>
        <v>1.0336780941594136E-2</v>
      </c>
      <c r="E70" s="13">
        <v>20.83</v>
      </c>
      <c r="F70" s="13">
        <f t="shared" si="6"/>
        <v>0.21531514701340584</v>
      </c>
    </row>
    <row r="71" spans="1:6" x14ac:dyDescent="0.25">
      <c r="A71" s="3" t="s">
        <v>57</v>
      </c>
      <c r="B71" s="10">
        <v>15570</v>
      </c>
      <c r="C71" s="23">
        <f t="shared" si="7"/>
        <v>9.4102601450400912E-3</v>
      </c>
      <c r="E71" s="13">
        <v>21.12</v>
      </c>
      <c r="F71" s="13">
        <f t="shared" si="6"/>
        <v>0.19874469426324673</v>
      </c>
    </row>
    <row r="72" spans="1:6" x14ac:dyDescent="0.25">
      <c r="A72" s="3" t="s">
        <v>58</v>
      </c>
      <c r="B72" s="10">
        <v>10670</v>
      </c>
      <c r="C72" s="23">
        <f t="shared" si="7"/>
        <v>6.4487781469221442E-3</v>
      </c>
      <c r="E72" s="13">
        <v>26.34</v>
      </c>
      <c r="F72" s="13">
        <f t="shared" si="6"/>
        <v>0.16986081638992928</v>
      </c>
    </row>
    <row r="73" spans="1:6" x14ac:dyDescent="0.25">
      <c r="A73" s="3" t="s">
        <v>59</v>
      </c>
      <c r="B73" s="10">
        <v>20042</v>
      </c>
      <c r="C73" s="23">
        <f t="shared" si="7"/>
        <v>1.2113065756383656E-2</v>
      </c>
      <c r="E73" s="13">
        <v>23.08</v>
      </c>
      <c r="F73" s="13">
        <f t="shared" si="6"/>
        <v>0.27956955765733477</v>
      </c>
    </row>
    <row r="74" spans="1:6" x14ac:dyDescent="0.25">
      <c r="A74" s="3" t="s">
        <v>60</v>
      </c>
      <c r="B74" s="10">
        <v>17539</v>
      </c>
      <c r="C74" s="23">
        <f t="shared" si="7"/>
        <v>1.0600292401018507E-2</v>
      </c>
      <c r="E74" s="13">
        <v>23.17</v>
      </c>
      <c r="F74" s="13">
        <f t="shared" si="6"/>
        <v>0.24560877493159883</v>
      </c>
    </row>
    <row r="75" spans="1:6" x14ac:dyDescent="0.25">
      <c r="A75" s="3" t="s">
        <v>61</v>
      </c>
      <c r="B75" s="10">
        <v>14793</v>
      </c>
      <c r="C75" s="23">
        <f t="shared" si="7"/>
        <v>8.9406537139099605E-3</v>
      </c>
      <c r="E75" s="13">
        <v>34.6</v>
      </c>
      <c r="F75" s="13">
        <f t="shared" si="6"/>
        <v>0.30934661850128464</v>
      </c>
    </row>
    <row r="76" spans="1:6" x14ac:dyDescent="0.25">
      <c r="A76" s="3" t="s">
        <v>62</v>
      </c>
      <c r="B76" s="10">
        <v>18967</v>
      </c>
      <c r="C76" s="23">
        <f t="shared" si="7"/>
        <v>1.1463352869041453E-2</v>
      </c>
      <c r="E76" s="13">
        <v>25.33</v>
      </c>
      <c r="F76" s="13">
        <f t="shared" si="6"/>
        <v>0.29036672817282</v>
      </c>
    </row>
    <row r="77" spans="1:6" x14ac:dyDescent="0.25">
      <c r="A77" s="3" t="s">
        <v>63</v>
      </c>
      <c r="B77" s="10">
        <v>26205</v>
      </c>
      <c r="C77" s="23">
        <f t="shared" si="7"/>
        <v>1.5837884849118536E-2</v>
      </c>
      <c r="E77" s="13">
        <v>17.600000000000001</v>
      </c>
      <c r="F77" s="13">
        <f t="shared" si="6"/>
        <v>0.27874677334448628</v>
      </c>
    </row>
    <row r="78" spans="1:6" x14ac:dyDescent="0.25">
      <c r="A78" s="3" t="s">
        <v>64</v>
      </c>
      <c r="B78" s="10">
        <v>18030</v>
      </c>
      <c r="C78" s="23">
        <f t="shared" si="7"/>
        <v>1.0897044984911551E-2</v>
      </c>
      <c r="E78" s="13">
        <v>23.01</v>
      </c>
      <c r="F78" s="13">
        <f t="shared" si="6"/>
        <v>0.25074100510281483</v>
      </c>
    </row>
    <row r="79" spans="1:6" x14ac:dyDescent="0.25">
      <c r="A79" s="3" t="s">
        <v>65</v>
      </c>
      <c r="B79" s="10">
        <v>29368</v>
      </c>
      <c r="C79" s="23">
        <f t="shared" si="7"/>
        <v>1.7749551698107734E-2</v>
      </c>
      <c r="E79" s="13">
        <v>31.4</v>
      </c>
      <c r="F79" s="13">
        <f t="shared" si="6"/>
        <v>0.55733592332058279</v>
      </c>
    </row>
    <row r="80" spans="1:6" x14ac:dyDescent="0.25">
      <c r="A80" s="3" t="s">
        <v>66</v>
      </c>
      <c r="B80" s="10">
        <v>24064</v>
      </c>
      <c r="C80" s="23">
        <f t="shared" si="7"/>
        <v>1.4543898531165368E-2</v>
      </c>
      <c r="E80" s="13">
        <v>15.68</v>
      </c>
      <c r="F80" s="13">
        <f t="shared" si="6"/>
        <v>0.22804832896867297</v>
      </c>
    </row>
    <row r="81" spans="1:6" x14ac:dyDescent="0.25">
      <c r="A81" s="3" t="s">
        <v>67</v>
      </c>
      <c r="B81" s="10">
        <v>17120</v>
      </c>
      <c r="C81" s="23">
        <f t="shared" si="7"/>
        <v>1.034705547097536E-2</v>
      </c>
      <c r="E81" s="13">
        <v>11.71</v>
      </c>
      <c r="F81" s="13">
        <f t="shared" si="6"/>
        <v>0.12116401956512148</v>
      </c>
    </row>
    <row r="82" spans="1:6" x14ac:dyDescent="0.25">
      <c r="A82" s="3" t="s">
        <v>68</v>
      </c>
      <c r="B82" s="10">
        <v>24934</v>
      </c>
      <c r="C82" s="23">
        <f t="shared" si="7"/>
        <v>1.5069712681851616E-2</v>
      </c>
      <c r="E82" s="13">
        <v>13.62</v>
      </c>
      <c r="F82" s="13">
        <f t="shared" si="6"/>
        <v>0.205249486726819</v>
      </c>
    </row>
    <row r="83" spans="1:6" x14ac:dyDescent="0.25">
      <c r="A83" s="3" t="s">
        <v>69</v>
      </c>
      <c r="B83" s="10">
        <v>20490</v>
      </c>
      <c r="C83" s="23">
        <f t="shared" si="7"/>
        <v>1.2383829824783012E-2</v>
      </c>
      <c r="E83" s="13">
        <v>12.41</v>
      </c>
      <c r="F83" s="13">
        <f t="shared" si="6"/>
        <v>0.15368332812555718</v>
      </c>
    </row>
    <row r="84" spans="1:6" x14ac:dyDescent="0.25">
      <c r="A84" s="3" t="s">
        <v>70</v>
      </c>
      <c r="B84" s="10">
        <v>15378</v>
      </c>
      <c r="C84" s="23">
        <f t="shared" si="7"/>
        <v>9.2942184014403687E-3</v>
      </c>
      <c r="E84" s="13">
        <v>10.66</v>
      </c>
      <c r="F84" s="13">
        <f t="shared" si="6"/>
        <v>9.9076368159354333E-2</v>
      </c>
    </row>
    <row r="85" spans="1:6" x14ac:dyDescent="0.25">
      <c r="A85" s="3" t="s">
        <v>71</v>
      </c>
      <c r="B85" s="10">
        <v>13807</v>
      </c>
      <c r="C85" s="23">
        <f t="shared" si="7"/>
        <v>8.3447310097988798E-3</v>
      </c>
      <c r="E85" s="13">
        <v>17.16</v>
      </c>
      <c r="F85" s="13">
        <f t="shared" si="6"/>
        <v>0.14319558412814878</v>
      </c>
    </row>
    <row r="86" spans="1:6" x14ac:dyDescent="0.25">
      <c r="A86" s="3" t="s">
        <v>72</v>
      </c>
      <c r="B86" s="10">
        <v>8124</v>
      </c>
      <c r="C86" s="23">
        <f t="shared" si="7"/>
        <v>4.9100162760633082E-3</v>
      </c>
      <c r="E86" s="13">
        <v>11.8</v>
      </c>
      <c r="F86" s="13">
        <f t="shared" si="6"/>
        <v>5.7938192057547043E-2</v>
      </c>
    </row>
    <row r="87" spans="1:6" x14ac:dyDescent="0.25">
      <c r="A87" s="3" t="s">
        <v>73</v>
      </c>
      <c r="B87" s="10">
        <v>12778</v>
      </c>
      <c r="C87" s="23">
        <f t="shared" si="7"/>
        <v>7.7228197901941104E-3</v>
      </c>
      <c r="E87" s="13">
        <v>21.17</v>
      </c>
      <c r="F87" s="13">
        <f t="shared" si="6"/>
        <v>0.16349209495840933</v>
      </c>
    </row>
    <row r="88" spans="1:6" x14ac:dyDescent="0.25">
      <c r="A88" s="3" t="s">
        <v>74</v>
      </c>
      <c r="B88" s="10">
        <v>14256</v>
      </c>
      <c r="C88" s="23">
        <f t="shared" si="7"/>
        <v>8.6160994622794824E-3</v>
      </c>
      <c r="E88" s="13">
        <v>17.43</v>
      </c>
      <c r="F88" s="13">
        <f t="shared" si="6"/>
        <v>0.15017861362753138</v>
      </c>
    </row>
    <row r="89" spans="1:6" x14ac:dyDescent="0.25">
      <c r="A89" s="3" t="s">
        <v>75</v>
      </c>
      <c r="B89" s="10">
        <v>8754</v>
      </c>
      <c r="C89" s="23">
        <f t="shared" si="7"/>
        <v>5.2907782472499014E-3</v>
      </c>
      <c r="E89" s="13">
        <v>25.69</v>
      </c>
      <c r="F89" s="13">
        <f t="shared" si="6"/>
        <v>0.13592009317184997</v>
      </c>
    </row>
    <row r="90" spans="1:6" x14ac:dyDescent="0.25">
      <c r="A90" s="3" t="s">
        <v>76</v>
      </c>
      <c r="B90" s="10">
        <v>11967</v>
      </c>
      <c r="C90" s="23">
        <f t="shared" si="7"/>
        <v>7.2326643003015273E-3</v>
      </c>
      <c r="E90" s="13">
        <v>21.46</v>
      </c>
      <c r="F90" s="13">
        <f t="shared" si="6"/>
        <v>0.15521297588447078</v>
      </c>
    </row>
    <row r="91" spans="1:6" x14ac:dyDescent="0.25">
      <c r="A91" s="3" t="s">
        <v>77</v>
      </c>
      <c r="B91" s="10">
        <v>14065</v>
      </c>
      <c r="C91" s="23">
        <f t="shared" si="7"/>
        <v>8.5006621027610071E-3</v>
      </c>
      <c r="E91" s="13">
        <v>20.420000000000002</v>
      </c>
      <c r="F91" s="13">
        <f t="shared" si="6"/>
        <v>0.17358352013837977</v>
      </c>
    </row>
    <row r="92" spans="1:6" x14ac:dyDescent="0.25">
      <c r="A92" s="3" t="s">
        <v>78</v>
      </c>
      <c r="B92" s="10">
        <v>12039</v>
      </c>
      <c r="C92" s="23">
        <f t="shared" si="7"/>
        <v>7.2761799541514235E-3</v>
      </c>
      <c r="E92" s="13">
        <v>37.270000000000003</v>
      </c>
      <c r="F92" s="13">
        <f t="shared" si="6"/>
        <v>0.27118322689122359</v>
      </c>
    </row>
    <row r="93" spans="1:6" x14ac:dyDescent="0.25">
      <c r="A93" s="3" t="s">
        <v>79</v>
      </c>
      <c r="B93" s="10">
        <v>16445</v>
      </c>
      <c r="C93" s="23">
        <f t="shared" si="7"/>
        <v>9.939096216132582E-3</v>
      </c>
      <c r="E93" s="13">
        <v>25.43</v>
      </c>
      <c r="F93" s="13">
        <f t="shared" si="6"/>
        <v>0.25275121677625156</v>
      </c>
    </row>
    <row r="94" spans="1:6" x14ac:dyDescent="0.25">
      <c r="A94" s="3" t="s">
        <v>80</v>
      </c>
      <c r="B94" s="10">
        <v>17373</v>
      </c>
      <c r="C94" s="23">
        <f t="shared" si="7"/>
        <v>1.0499964643531246E-2</v>
      </c>
      <c r="E94" s="13">
        <v>27.74</v>
      </c>
      <c r="F94" s="13">
        <f t="shared" si="6"/>
        <v>0.29126901921155673</v>
      </c>
    </row>
    <row r="95" spans="1:6" x14ac:dyDescent="0.25">
      <c r="A95" s="3" t="s">
        <v>81</v>
      </c>
      <c r="B95" s="10">
        <v>10062</v>
      </c>
      <c r="C95" s="23">
        <f t="shared" si="7"/>
        <v>6.081312625523019E-3</v>
      </c>
      <c r="E95" s="13">
        <v>18.66</v>
      </c>
      <c r="F95" s="13">
        <f t="shared" si="6"/>
        <v>0.11347729359225954</v>
      </c>
    </row>
    <row r="96" spans="1:6" x14ac:dyDescent="0.25">
      <c r="A96" s="3" t="s">
        <v>82</v>
      </c>
      <c r="B96" s="10">
        <v>10583</v>
      </c>
      <c r="C96" s="23">
        <f t="shared" si="7"/>
        <v>6.3961967318535195E-3</v>
      </c>
      <c r="E96" s="13">
        <v>29.1</v>
      </c>
      <c r="F96" s="13">
        <f t="shared" si="6"/>
        <v>0.18612932489693743</v>
      </c>
    </row>
    <row r="97" spans="1:6" x14ac:dyDescent="0.25">
      <c r="A97" s="3" t="s">
        <v>83</v>
      </c>
      <c r="B97" s="10">
        <v>11669</v>
      </c>
      <c r="C97" s="23">
        <f t="shared" si="7"/>
        <v>7.0525578440894564E-3</v>
      </c>
      <c r="E97" s="13">
        <v>25.83</v>
      </c>
      <c r="F97" s="13">
        <f t="shared" si="6"/>
        <v>0.18216756911283064</v>
      </c>
    </row>
    <row r="98" spans="1:6" x14ac:dyDescent="0.25">
      <c r="A98" s="3" t="s">
        <v>84</v>
      </c>
      <c r="B98" s="10">
        <v>13139</v>
      </c>
      <c r="C98" s="23">
        <f t="shared" si="7"/>
        <v>7.9410024435248409E-3</v>
      </c>
      <c r="E98" s="13">
        <v>27.01</v>
      </c>
      <c r="F98" s="13">
        <f t="shared" si="6"/>
        <v>0.21448647599960596</v>
      </c>
    </row>
    <row r="99" spans="1:6" x14ac:dyDescent="0.25">
      <c r="A99" s="3" t="s">
        <v>85</v>
      </c>
      <c r="B99" s="10">
        <v>20615</v>
      </c>
      <c r="C99" s="23">
        <f t="shared" si="7"/>
        <v>1.245937783493908E-2</v>
      </c>
      <c r="E99" s="13">
        <v>32.119999999999997</v>
      </c>
      <c r="F99" s="13">
        <f t="shared" si="6"/>
        <v>0.40019521605824321</v>
      </c>
    </row>
    <row r="100" spans="1:6" x14ac:dyDescent="0.25">
      <c r="A100" s="3" t="s">
        <v>86</v>
      </c>
      <c r="B100" s="10">
        <v>13705</v>
      </c>
      <c r="C100" s="23">
        <f t="shared" si="7"/>
        <v>8.2830838335115255E-3</v>
      </c>
      <c r="E100" s="13">
        <v>30.68</v>
      </c>
      <c r="F100" s="13">
        <f t="shared" si="6"/>
        <v>0.25412501201213361</v>
      </c>
    </row>
    <row r="101" spans="1:6" x14ac:dyDescent="0.25">
      <c r="A101" s="3" t="s">
        <v>87</v>
      </c>
      <c r="B101" s="10">
        <v>12894</v>
      </c>
      <c r="C101" s="23">
        <f t="shared" si="7"/>
        <v>7.7929283436189434E-3</v>
      </c>
      <c r="E101" s="13">
        <v>29.02</v>
      </c>
      <c r="F101" s="13">
        <f t="shared" si="6"/>
        <v>0.22615078053182172</v>
      </c>
    </row>
    <row r="102" spans="1:6" x14ac:dyDescent="0.25">
      <c r="A102" s="3" t="s">
        <v>88</v>
      </c>
      <c r="B102" s="10">
        <v>17182</v>
      </c>
      <c r="C102" s="23">
        <f t="shared" si="7"/>
        <v>1.0384527284012773E-2</v>
      </c>
      <c r="E102" s="13">
        <v>23</v>
      </c>
      <c r="F102" s="13">
        <f t="shared" si="6"/>
        <v>0.23884412753229378</v>
      </c>
    </row>
    <row r="103" spans="1:6" x14ac:dyDescent="0.25">
      <c r="A103" s="3" t="s">
        <v>89</v>
      </c>
      <c r="B103" s="10">
        <v>21701</v>
      </c>
      <c r="C103" s="23">
        <f t="shared" si="7"/>
        <v>1.3115738947175017E-2</v>
      </c>
      <c r="E103" s="13">
        <v>18.91</v>
      </c>
      <c r="F103" s="13">
        <f t="shared" si="6"/>
        <v>0.24801862349107959</v>
      </c>
    </row>
    <row r="104" spans="1:6" x14ac:dyDescent="0.25">
      <c r="A104" s="3" t="s">
        <v>90</v>
      </c>
      <c r="B104" s="10">
        <v>24371</v>
      </c>
      <c r="C104" s="23">
        <f t="shared" si="7"/>
        <v>1.4729444444108675E-2</v>
      </c>
      <c r="E104" s="13">
        <v>25.7</v>
      </c>
      <c r="F104" s="13">
        <f t="shared" si="6"/>
        <v>0.37854672221359292</v>
      </c>
    </row>
    <row r="105" spans="1:6" x14ac:dyDescent="0.25">
      <c r="A105" s="3" t="s">
        <v>91</v>
      </c>
      <c r="B105" s="10">
        <v>49051</v>
      </c>
      <c r="C105" s="23">
        <f t="shared" si="7"/>
        <v>2.9645643569323157E-2</v>
      </c>
      <c r="E105" s="13">
        <v>12.88</v>
      </c>
      <c r="F105" s="13">
        <f t="shared" si="6"/>
        <v>0.3818358891728823</v>
      </c>
    </row>
    <row r="106" spans="1:6" x14ac:dyDescent="0.25">
      <c r="A106" s="3" t="s">
        <v>92</v>
      </c>
      <c r="B106" s="10">
        <v>101228</v>
      </c>
      <c r="C106" s="23">
        <f t="shared" si="7"/>
        <v>6.1180591776629316E-2</v>
      </c>
      <c r="E106" s="13">
        <v>8.94</v>
      </c>
      <c r="F106" s="13">
        <f t="shared" si="6"/>
        <v>0.5469544904830661</v>
      </c>
    </row>
    <row r="107" spans="1:6" x14ac:dyDescent="0.25">
      <c r="A107" s="3" t="s">
        <v>93</v>
      </c>
      <c r="B107" s="10">
        <v>47610</v>
      </c>
      <c r="C107" s="23">
        <f t="shared" si="7"/>
        <v>2.877472610824398E-2</v>
      </c>
      <c r="E107" s="13">
        <v>9.25</v>
      </c>
      <c r="F107" s="13">
        <f t="shared" ref="F107:F113" si="8">E107*C107</f>
        <v>0.26616621650125682</v>
      </c>
    </row>
    <row r="108" spans="1:6" x14ac:dyDescent="0.25">
      <c r="A108" s="3" t="s">
        <v>94</v>
      </c>
      <c r="B108" s="10">
        <v>174265</v>
      </c>
      <c r="C108" s="23">
        <f t="shared" si="7"/>
        <v>0.10532299191878045</v>
      </c>
      <c r="E108" s="13">
        <v>15.89</v>
      </c>
      <c r="F108" s="13">
        <f t="shared" si="8"/>
        <v>1.6735823415894213</v>
      </c>
    </row>
    <row r="109" spans="1:6" x14ac:dyDescent="0.25">
      <c r="A109" s="3" t="s">
        <v>95</v>
      </c>
      <c r="B109" s="10">
        <v>53981</v>
      </c>
      <c r="C109" s="23">
        <f t="shared" ref="C109:C114" si="9">B109/B$114</f>
        <v>3.2625257089878561E-2</v>
      </c>
      <c r="E109" s="13">
        <v>14.76</v>
      </c>
      <c r="F109" s="13">
        <f t="shared" si="8"/>
        <v>0.48154879464660755</v>
      </c>
    </row>
    <row r="110" spans="1:6" x14ac:dyDescent="0.25">
      <c r="A110" s="3" t="s">
        <v>96</v>
      </c>
      <c r="B110" s="10">
        <v>40682</v>
      </c>
      <c r="C110" s="23">
        <f t="shared" si="9"/>
        <v>2.4587553193353952E-2</v>
      </c>
      <c r="E110" s="13">
        <v>8.58</v>
      </c>
      <c r="F110" s="13">
        <f t="shared" si="8"/>
        <v>0.21096120639897692</v>
      </c>
    </row>
    <row r="111" spans="1:6" x14ac:dyDescent="0.25">
      <c r="A111" s="3" t="s">
        <v>97</v>
      </c>
      <c r="B111" s="10">
        <v>51368</v>
      </c>
      <c r="C111" s="23">
        <f t="shared" si="9"/>
        <v>3.1046001485576073E-2</v>
      </c>
      <c r="E111" s="13">
        <v>13.48</v>
      </c>
      <c r="F111" s="13">
        <f t="shared" si="8"/>
        <v>0.41850010002556548</v>
      </c>
    </row>
    <row r="112" spans="1:6" x14ac:dyDescent="0.25">
      <c r="A112" s="3" t="s">
        <v>98</v>
      </c>
      <c r="B112" s="10">
        <v>84646</v>
      </c>
      <c r="C112" s="23">
        <f t="shared" si="9"/>
        <v>5.1158694941365677E-2</v>
      </c>
      <c r="E112" s="13">
        <v>13.49</v>
      </c>
      <c r="F112" s="13">
        <f t="shared" si="8"/>
        <v>0.69013079475902295</v>
      </c>
    </row>
    <row r="113" spans="1:6" x14ac:dyDescent="0.25">
      <c r="A113" s="3" t="s">
        <v>99</v>
      </c>
      <c r="B113" s="10">
        <v>34534</v>
      </c>
      <c r="C113" s="23">
        <f t="shared" si="9"/>
        <v>2.0871799861837799E-2</v>
      </c>
      <c r="E113" s="13">
        <v>10.59</v>
      </c>
      <c r="F113" s="13">
        <f t="shared" si="8"/>
        <v>0.22103236053686229</v>
      </c>
    </row>
    <row r="114" spans="1:6" x14ac:dyDescent="0.25">
      <c r="A114" s="20" t="s">
        <v>0</v>
      </c>
      <c r="B114" s="21">
        <f>SUM(B43:B113)</f>
        <v>1654577</v>
      </c>
      <c r="C114" s="22">
        <f t="shared" si="9"/>
        <v>1</v>
      </c>
      <c r="D114" s="18"/>
      <c r="E114" s="18"/>
      <c r="F114" s="19">
        <f>SUM(F43:F113)</f>
        <v>17.806792884223579</v>
      </c>
    </row>
    <row r="115" spans="1:6" x14ac:dyDescent="0.25">
      <c r="B115" s="10"/>
      <c r="C115" s="23"/>
      <c r="E115" s="13"/>
      <c r="F115" s="13"/>
    </row>
    <row r="116" spans="1:6" x14ac:dyDescent="0.25">
      <c r="A116" s="3" t="s">
        <v>100</v>
      </c>
      <c r="B116" s="10">
        <v>2476</v>
      </c>
      <c r="C116" s="23">
        <f t="shared" ref="C116:C136" si="10">B116/B$138</f>
        <v>8.996929561599535E-3</v>
      </c>
      <c r="E116" s="13">
        <v>33.06</v>
      </c>
      <c r="F116" s="13">
        <f t="shared" ref="F116:F137" si="11">E116*C116</f>
        <v>0.29743849130648065</v>
      </c>
    </row>
    <row r="117" spans="1:6" x14ac:dyDescent="0.25">
      <c r="A117" s="3" t="s">
        <v>101</v>
      </c>
      <c r="B117" s="10">
        <v>42089</v>
      </c>
      <c r="C117" s="23">
        <f t="shared" si="10"/>
        <v>0.15293690158245671</v>
      </c>
      <c r="E117" s="13">
        <v>12.33</v>
      </c>
      <c r="F117" s="13">
        <f t="shared" si="11"/>
        <v>1.8857119965116913</v>
      </c>
    </row>
    <row r="118" spans="1:6" x14ac:dyDescent="0.25">
      <c r="A118" s="3" t="s">
        <v>102</v>
      </c>
      <c r="B118" s="10">
        <v>9170</v>
      </c>
      <c r="C118" s="23">
        <f t="shared" si="10"/>
        <v>3.332061554114206E-2</v>
      </c>
      <c r="E118" s="13">
        <v>22.43</v>
      </c>
      <c r="F118" s="13">
        <f t="shared" si="11"/>
        <v>0.74738140658781638</v>
      </c>
    </row>
    <row r="119" spans="1:6" x14ac:dyDescent="0.25">
      <c r="A119" s="3" t="s">
        <v>103</v>
      </c>
      <c r="B119" s="10">
        <v>9926</v>
      </c>
      <c r="C119" s="23">
        <f t="shared" si="10"/>
        <v>3.6067658654457588E-2</v>
      </c>
      <c r="E119" s="13">
        <v>23.17</v>
      </c>
      <c r="F119" s="13">
        <f t="shared" si="11"/>
        <v>0.8356876510237824</v>
      </c>
    </row>
    <row r="120" spans="1:6" x14ac:dyDescent="0.25">
      <c r="A120" s="3" t="s">
        <v>104</v>
      </c>
      <c r="B120" s="10">
        <v>16734</v>
      </c>
      <c r="C120" s="23">
        <f t="shared" si="10"/>
        <v>6.0805581293944512E-2</v>
      </c>
      <c r="E120" s="13">
        <v>6.4</v>
      </c>
      <c r="F120" s="13">
        <f t="shared" si="11"/>
        <v>0.3891557202812449</v>
      </c>
    </row>
    <row r="121" spans="1:6" x14ac:dyDescent="0.25">
      <c r="A121" s="3" t="s">
        <v>105</v>
      </c>
      <c r="B121" s="10">
        <v>6596</v>
      </c>
      <c r="C121" s="23">
        <f t="shared" si="10"/>
        <v>2.3967587798186807E-2</v>
      </c>
      <c r="E121" s="13">
        <v>16.420000000000002</v>
      </c>
      <c r="F121" s="13">
        <f t="shared" si="11"/>
        <v>0.39354779164622739</v>
      </c>
    </row>
    <row r="122" spans="1:6" x14ac:dyDescent="0.25">
      <c r="A122" s="3" t="s">
        <v>106</v>
      </c>
      <c r="B122" s="10">
        <v>10751</v>
      </c>
      <c r="C122" s="23">
        <f t="shared" si="10"/>
        <v>3.9065423956686836E-2</v>
      </c>
      <c r="E122" s="13">
        <v>29.33</v>
      </c>
      <c r="F122" s="13">
        <f t="shared" si="11"/>
        <v>1.1457888846496249</v>
      </c>
    </row>
    <row r="123" spans="1:6" x14ac:dyDescent="0.25">
      <c r="A123" s="3" t="s">
        <v>107</v>
      </c>
      <c r="B123" s="10">
        <v>4156</v>
      </c>
      <c r="C123" s="23">
        <f t="shared" si="10"/>
        <v>1.510146981341182E-2</v>
      </c>
      <c r="E123" s="13">
        <v>19.75</v>
      </c>
      <c r="F123" s="13">
        <f t="shared" si="11"/>
        <v>0.29825402881488344</v>
      </c>
    </row>
    <row r="124" spans="1:6" x14ac:dyDescent="0.25">
      <c r="A124" s="3" t="s">
        <v>108</v>
      </c>
      <c r="B124" s="10">
        <v>4137</v>
      </c>
      <c r="C124" s="23">
        <f t="shared" si="10"/>
        <v>1.5032430370087753E-2</v>
      </c>
      <c r="E124" s="13">
        <v>52.05</v>
      </c>
      <c r="F124" s="13">
        <f t="shared" si="11"/>
        <v>0.78243800076306746</v>
      </c>
    </row>
    <row r="125" spans="1:6" x14ac:dyDescent="0.25">
      <c r="A125" s="3" t="s">
        <v>109</v>
      </c>
      <c r="B125" s="10">
        <v>3698</v>
      </c>
      <c r="C125" s="23">
        <f t="shared" si="10"/>
        <v>1.3437255863810614E-2</v>
      </c>
      <c r="E125" s="13">
        <v>26.61</v>
      </c>
      <c r="F125" s="13">
        <f t="shared" si="11"/>
        <v>0.3575653785360004</v>
      </c>
    </row>
    <row r="126" spans="1:6" x14ac:dyDescent="0.25">
      <c r="A126" s="3" t="s">
        <v>110</v>
      </c>
      <c r="B126" s="10">
        <v>26946</v>
      </c>
      <c r="C126" s="23">
        <f t="shared" si="10"/>
        <v>9.7912465253174902E-2</v>
      </c>
      <c r="E126" s="13">
        <v>8.75</v>
      </c>
      <c r="F126" s="13">
        <f t="shared" si="11"/>
        <v>0.85673407096528043</v>
      </c>
    </row>
    <row r="127" spans="1:6" x14ac:dyDescent="0.25">
      <c r="A127" s="3" t="s">
        <v>111</v>
      </c>
      <c r="B127" s="10">
        <v>3449</v>
      </c>
      <c r="C127" s="23">
        <f t="shared" si="10"/>
        <v>1.2532475790774151E-2</v>
      </c>
      <c r="E127" s="13">
        <v>23.56</v>
      </c>
      <c r="F127" s="13">
        <f t="shared" si="11"/>
        <v>0.29526512963063895</v>
      </c>
    </row>
    <row r="128" spans="1:6" x14ac:dyDescent="0.25">
      <c r="A128" s="3" t="s">
        <v>112</v>
      </c>
      <c r="B128" s="10">
        <v>32870</v>
      </c>
      <c r="C128" s="23">
        <f t="shared" si="10"/>
        <v>0.11943823695063679</v>
      </c>
      <c r="E128" s="13">
        <v>11.17</v>
      </c>
      <c r="F128" s="13">
        <f t="shared" si="11"/>
        <v>1.3341251067386131</v>
      </c>
    </row>
    <row r="129" spans="1:6" x14ac:dyDescent="0.25">
      <c r="A129" s="3" t="s">
        <v>113</v>
      </c>
      <c r="B129" s="10">
        <v>7214</v>
      </c>
      <c r="C129" s="23">
        <f t="shared" si="10"/>
        <v>2.6213186533674895E-2</v>
      </c>
      <c r="E129" s="13">
        <v>30.03</v>
      </c>
      <c r="F129" s="13">
        <f t="shared" si="11"/>
        <v>0.78718199160625713</v>
      </c>
    </row>
    <row r="130" spans="1:6" x14ac:dyDescent="0.25">
      <c r="A130" s="3" t="s">
        <v>114</v>
      </c>
      <c r="B130" s="10">
        <v>5411</v>
      </c>
      <c r="C130" s="23">
        <f t="shared" si="10"/>
        <v>1.9661706727712069E-2</v>
      </c>
      <c r="E130" s="13">
        <v>44.25</v>
      </c>
      <c r="F130" s="13">
        <f t="shared" si="11"/>
        <v>0.87003052270125902</v>
      </c>
    </row>
    <row r="131" spans="1:6" x14ac:dyDescent="0.25">
      <c r="A131" s="3" t="s">
        <v>115</v>
      </c>
      <c r="B131" s="10">
        <v>13989</v>
      </c>
      <c r="C131" s="23">
        <f t="shared" si="10"/>
        <v>5.0831198561072655E-2</v>
      </c>
      <c r="E131" s="13">
        <v>6.23</v>
      </c>
      <c r="F131" s="13">
        <f t="shared" si="11"/>
        <v>0.31667836703548263</v>
      </c>
    </row>
    <row r="132" spans="1:6" x14ac:dyDescent="0.25">
      <c r="A132" s="3" t="s">
        <v>116</v>
      </c>
      <c r="B132" s="10">
        <v>10166</v>
      </c>
      <c r="C132" s="23">
        <f t="shared" si="10"/>
        <v>3.6939735833287912E-2</v>
      </c>
      <c r="E132" s="13">
        <v>33.21</v>
      </c>
      <c r="F132" s="13">
        <f t="shared" si="11"/>
        <v>1.2267686270234917</v>
      </c>
    </row>
    <row r="133" spans="1:6" x14ac:dyDescent="0.25">
      <c r="A133" s="3" t="s">
        <v>117</v>
      </c>
      <c r="B133" s="10">
        <v>4016</v>
      </c>
      <c r="C133" s="23">
        <f t="shared" si="10"/>
        <v>1.4592758125760797E-2</v>
      </c>
      <c r="E133" s="13">
        <v>31.87</v>
      </c>
      <c r="F133" s="13">
        <f t="shared" si="11"/>
        <v>0.46507120146799663</v>
      </c>
    </row>
    <row r="134" spans="1:6" x14ac:dyDescent="0.25">
      <c r="A134" s="3" t="s">
        <v>118</v>
      </c>
      <c r="B134" s="10">
        <v>8883</v>
      </c>
      <c r="C134" s="23">
        <f t="shared" si="10"/>
        <v>3.2277756581457456E-2</v>
      </c>
      <c r="E134" s="13">
        <v>31.23</v>
      </c>
      <c r="F134" s="13">
        <f t="shared" si="11"/>
        <v>1.0080343380389163</v>
      </c>
    </row>
    <row r="135" spans="1:6" x14ac:dyDescent="0.25">
      <c r="A135" s="3" t="s">
        <v>119</v>
      </c>
      <c r="B135" s="10">
        <v>34534</v>
      </c>
      <c r="C135" s="23">
        <f t="shared" si="10"/>
        <v>0.1254846387238604</v>
      </c>
      <c r="E135" s="13">
        <v>7.89</v>
      </c>
      <c r="F135" s="13">
        <f t="shared" si="11"/>
        <v>0.99007379953125851</v>
      </c>
    </row>
    <row r="136" spans="1:6" x14ac:dyDescent="0.25">
      <c r="A136" s="3" t="s">
        <v>120</v>
      </c>
      <c r="B136" s="10">
        <v>10791</v>
      </c>
      <c r="C136" s="23">
        <f t="shared" si="10"/>
        <v>3.9210770153158554E-2</v>
      </c>
      <c r="E136" s="13">
        <v>47.67</v>
      </c>
      <c r="F136" s="13">
        <f t="shared" si="11"/>
        <v>1.8691774132010683</v>
      </c>
    </row>
    <row r="137" spans="1:6" x14ac:dyDescent="0.25">
      <c r="A137" s="3" t="s">
        <v>121</v>
      </c>
      <c r="B137" s="10">
        <v>7203</v>
      </c>
      <c r="C137" s="23">
        <f>B137/B$138</f>
        <v>2.6173216329645175E-2</v>
      </c>
      <c r="E137" s="13">
        <v>26.67</v>
      </c>
      <c r="F137" s="13">
        <f t="shared" si="11"/>
        <v>0.69803967951163681</v>
      </c>
    </row>
    <row r="138" spans="1:6" x14ac:dyDescent="0.25">
      <c r="A138" s="20" t="s">
        <v>0</v>
      </c>
      <c r="B138" s="21">
        <f>SUM(B116:B137)</f>
        <v>275205</v>
      </c>
      <c r="C138" s="22">
        <f>B138/B$138</f>
        <v>1</v>
      </c>
      <c r="D138" s="18"/>
      <c r="E138" s="18"/>
      <c r="F138" s="19">
        <f>SUM(F116:F137)</f>
        <v>17.85014959757272</v>
      </c>
    </row>
    <row r="139" spans="1:6" x14ac:dyDescent="0.25">
      <c r="B139" s="10"/>
      <c r="C139" s="23"/>
      <c r="E139" s="13"/>
      <c r="F139" s="13"/>
    </row>
    <row r="140" spans="1:6" x14ac:dyDescent="0.25">
      <c r="A140" s="3" t="s">
        <v>122</v>
      </c>
      <c r="B140" s="10">
        <v>4595</v>
      </c>
      <c r="C140" s="23">
        <f>B140/B$193</f>
        <v>3.4985080899668573E-3</v>
      </c>
      <c r="E140" s="13">
        <v>47.44</v>
      </c>
      <c r="F140" s="13">
        <f t="shared" ref="F140:F192" si="12">E140*C140</f>
        <v>0.1659692237880277</v>
      </c>
    </row>
    <row r="141" spans="1:6" x14ac:dyDescent="0.25">
      <c r="A141" s="3" t="s">
        <v>123</v>
      </c>
      <c r="B141" s="10">
        <v>3720</v>
      </c>
      <c r="C141" s="23">
        <f t="shared" ref="C141:C192" si="13">B141/B$193</f>
        <v>2.8323068758817648E-3</v>
      </c>
      <c r="E141" s="13">
        <v>23.63</v>
      </c>
      <c r="F141" s="13">
        <f t="shared" si="12"/>
        <v>6.6927411477086099E-2</v>
      </c>
    </row>
    <row r="142" spans="1:6" x14ac:dyDescent="0.25">
      <c r="A142" s="3" t="s">
        <v>124</v>
      </c>
      <c r="B142" s="10">
        <v>5321</v>
      </c>
      <c r="C142" s="23">
        <f t="shared" si="13"/>
        <v>4.0512647544534604E-3</v>
      </c>
      <c r="E142" s="13">
        <v>21.02</v>
      </c>
      <c r="F142" s="13">
        <f t="shared" si="12"/>
        <v>8.5157585138611741E-2</v>
      </c>
    </row>
    <row r="143" spans="1:6" x14ac:dyDescent="0.25">
      <c r="A143" s="3" t="s">
        <v>125</v>
      </c>
      <c r="B143" s="10">
        <v>4941</v>
      </c>
      <c r="C143" s="23">
        <f t="shared" si="13"/>
        <v>3.7619430843365055E-3</v>
      </c>
      <c r="E143" s="13">
        <v>52.5</v>
      </c>
      <c r="F143" s="13">
        <f t="shared" si="12"/>
        <v>0.19750201192766653</v>
      </c>
    </row>
    <row r="144" spans="1:6" x14ac:dyDescent="0.25">
      <c r="A144" s="3" t="s">
        <v>126</v>
      </c>
      <c r="B144" s="10">
        <v>7732</v>
      </c>
      <c r="C144" s="23">
        <f t="shared" si="13"/>
        <v>5.8869346140639264E-3</v>
      </c>
      <c r="E144" s="13">
        <v>33.85</v>
      </c>
      <c r="F144" s="13">
        <f t="shared" si="12"/>
        <v>0.19927273668606391</v>
      </c>
    </row>
    <row r="145" spans="1:6" x14ac:dyDescent="0.25">
      <c r="A145" s="3" t="s">
        <v>127</v>
      </c>
      <c r="B145" s="10">
        <v>23196</v>
      </c>
      <c r="C145" s="23">
        <f t="shared" si="13"/>
        <v>1.7660803842191781E-2</v>
      </c>
      <c r="E145" s="13">
        <v>11.44</v>
      </c>
      <c r="F145" s="13">
        <f t="shared" si="12"/>
        <v>0.20203959595467397</v>
      </c>
    </row>
    <row r="146" spans="1:6" x14ac:dyDescent="0.25">
      <c r="A146" s="3" t="s">
        <v>128</v>
      </c>
      <c r="B146" s="10">
        <v>14578</v>
      </c>
      <c r="C146" s="23">
        <f t="shared" si="13"/>
        <v>1.1099292913065691E-2</v>
      </c>
      <c r="E146" s="13">
        <v>24.43</v>
      </c>
      <c r="F146" s="13">
        <f t="shared" si="12"/>
        <v>0.27115572586619485</v>
      </c>
    </row>
    <row r="147" spans="1:6" x14ac:dyDescent="0.25">
      <c r="A147" s="3" t="s">
        <v>129</v>
      </c>
      <c r="B147" s="10">
        <v>32377</v>
      </c>
      <c r="C147" s="23">
        <f t="shared" si="13"/>
        <v>2.465096766678062E-2</v>
      </c>
      <c r="E147" s="13">
        <v>13.03</v>
      </c>
      <c r="F147" s="13">
        <f t="shared" si="12"/>
        <v>0.32120210869815147</v>
      </c>
    </row>
    <row r="148" spans="1:6" x14ac:dyDescent="0.25">
      <c r="A148" s="3" t="s">
        <v>130</v>
      </c>
      <c r="B148" s="10">
        <v>8936</v>
      </c>
      <c r="C148" s="23">
        <f t="shared" si="13"/>
        <v>6.8036274846450138E-3</v>
      </c>
      <c r="E148" s="13">
        <v>36.200000000000003</v>
      </c>
      <c r="F148" s="13">
        <f t="shared" si="12"/>
        <v>0.24629131494414952</v>
      </c>
    </row>
    <row r="149" spans="1:6" x14ac:dyDescent="0.25">
      <c r="A149" s="3" t="s">
        <v>131</v>
      </c>
      <c r="B149" s="10">
        <v>5457</v>
      </c>
      <c r="C149" s="23">
        <f t="shared" si="13"/>
        <v>4.1548114574426857E-3</v>
      </c>
      <c r="E149" s="13">
        <v>38.58</v>
      </c>
      <c r="F149" s="13">
        <f t="shared" si="12"/>
        <v>0.16029262602813882</v>
      </c>
    </row>
    <row r="150" spans="1:6" x14ac:dyDescent="0.25">
      <c r="A150" s="3" t="s">
        <v>132</v>
      </c>
      <c r="B150" s="10">
        <v>23892</v>
      </c>
      <c r="C150" s="23">
        <f t="shared" si="13"/>
        <v>1.8190719322195466E-2</v>
      </c>
      <c r="E150" s="13">
        <v>22.71</v>
      </c>
      <c r="F150" s="13">
        <f t="shared" si="12"/>
        <v>0.41311123580705905</v>
      </c>
    </row>
    <row r="151" spans="1:6" x14ac:dyDescent="0.25">
      <c r="A151" s="3" t="s">
        <v>133</v>
      </c>
      <c r="B151" s="10">
        <v>18018</v>
      </c>
      <c r="C151" s="23">
        <f t="shared" si="13"/>
        <v>1.3718415400440226E-2</v>
      </c>
      <c r="E151" s="13">
        <v>9.11</v>
      </c>
      <c r="F151" s="13">
        <f t="shared" si="12"/>
        <v>0.12497476429801045</v>
      </c>
    </row>
    <row r="152" spans="1:6" x14ac:dyDescent="0.25">
      <c r="A152" s="3" t="s">
        <v>134</v>
      </c>
      <c r="B152" s="10">
        <v>4982</v>
      </c>
      <c r="C152" s="23">
        <f t="shared" si="13"/>
        <v>3.7931593697964928E-3</v>
      </c>
      <c r="E152" s="13">
        <v>25.62</v>
      </c>
      <c r="F152" s="13">
        <f t="shared" si="12"/>
        <v>9.7180743054186156E-2</v>
      </c>
    </row>
    <row r="153" spans="1:6" x14ac:dyDescent="0.25">
      <c r="A153" s="3" t="s">
        <v>135</v>
      </c>
      <c r="B153" s="10">
        <v>21850</v>
      </c>
      <c r="C153" s="23">
        <f t="shared" si="13"/>
        <v>1.6635996031724883E-2</v>
      </c>
      <c r="E153" s="13">
        <v>30.12</v>
      </c>
      <c r="F153" s="13">
        <f t="shared" si="12"/>
        <v>0.50107620047555346</v>
      </c>
    </row>
    <row r="154" spans="1:6" x14ac:dyDescent="0.25">
      <c r="A154" s="3" t="s">
        <v>136</v>
      </c>
      <c r="B154" s="10">
        <v>7111</v>
      </c>
      <c r="C154" s="23">
        <f t="shared" si="13"/>
        <v>5.4141220952675347E-3</v>
      </c>
      <c r="E154" s="13">
        <v>35.85</v>
      </c>
      <c r="F154" s="13">
        <f t="shared" si="12"/>
        <v>0.19409627711534114</v>
      </c>
    </row>
    <row r="155" spans="1:6" x14ac:dyDescent="0.25">
      <c r="A155" s="3" t="s">
        <v>137</v>
      </c>
      <c r="B155" s="10">
        <v>9769</v>
      </c>
      <c r="C155" s="23">
        <f t="shared" si="13"/>
        <v>7.4378510404540217E-3</v>
      </c>
      <c r="E155" s="13">
        <v>35.75</v>
      </c>
      <c r="F155" s="13">
        <f t="shared" si="12"/>
        <v>0.26590317469623126</v>
      </c>
    </row>
    <row r="156" spans="1:6" x14ac:dyDescent="0.25">
      <c r="A156" s="3" t="s">
        <v>138</v>
      </c>
      <c r="B156" s="10">
        <v>7351</v>
      </c>
      <c r="C156" s="23">
        <f t="shared" si="13"/>
        <v>5.5968515711308743E-3</v>
      </c>
      <c r="E156" s="13">
        <v>22.84</v>
      </c>
      <c r="F156" s="13">
        <f t="shared" si="12"/>
        <v>0.12783208988462916</v>
      </c>
    </row>
    <row r="157" spans="1:6" x14ac:dyDescent="0.25">
      <c r="A157" s="3" t="s">
        <v>139</v>
      </c>
      <c r="B157" s="10">
        <v>36163</v>
      </c>
      <c r="C157" s="23">
        <f t="shared" si="13"/>
        <v>2.7533525148524803E-2</v>
      </c>
      <c r="E157" s="13">
        <v>15.38</v>
      </c>
      <c r="F157" s="13">
        <f t="shared" si="12"/>
        <v>0.42346561678431149</v>
      </c>
    </row>
    <row r="158" spans="1:6" x14ac:dyDescent="0.25">
      <c r="A158" s="3" t="s">
        <v>140</v>
      </c>
      <c r="B158" s="10">
        <v>9171</v>
      </c>
      <c r="C158" s="23">
        <f t="shared" si="13"/>
        <v>6.9825500964278671E-3</v>
      </c>
      <c r="E158" s="13">
        <v>23.19</v>
      </c>
      <c r="F158" s="13">
        <f t="shared" si="12"/>
        <v>0.16192533673616225</v>
      </c>
    </row>
    <row r="159" spans="1:6" x14ac:dyDescent="0.25">
      <c r="A159" s="3" t="s">
        <v>141</v>
      </c>
      <c r="B159" s="10">
        <v>11750</v>
      </c>
      <c r="C159" s="23">
        <f t="shared" si="13"/>
        <v>8.9461305891426722E-3</v>
      </c>
      <c r="E159" s="13">
        <v>37.4</v>
      </c>
      <c r="F159" s="13">
        <f t="shared" si="12"/>
        <v>0.33458528403393595</v>
      </c>
    </row>
    <row r="160" spans="1:6" x14ac:dyDescent="0.25">
      <c r="A160" s="3" t="s">
        <v>142</v>
      </c>
      <c r="B160" s="10">
        <v>9993</v>
      </c>
      <c r="C160" s="23">
        <f t="shared" si="13"/>
        <v>7.6083985512598058E-3</v>
      </c>
      <c r="E160" s="13">
        <v>26.14</v>
      </c>
      <c r="F160" s="13">
        <f t="shared" si="12"/>
        <v>0.19888353812993131</v>
      </c>
    </row>
    <row r="161" spans="1:6" x14ac:dyDescent="0.25">
      <c r="A161" s="3" t="s">
        <v>143</v>
      </c>
      <c r="B161" s="10">
        <v>9335</v>
      </c>
      <c r="C161" s="23">
        <f t="shared" si="13"/>
        <v>7.1074152382678158E-3</v>
      </c>
      <c r="E161" s="13">
        <v>32.69</v>
      </c>
      <c r="F161" s="13">
        <f t="shared" si="12"/>
        <v>0.23234140413897489</v>
      </c>
    </row>
    <row r="162" spans="1:6" x14ac:dyDescent="0.25">
      <c r="A162" s="3" t="s">
        <v>144</v>
      </c>
      <c r="B162" s="10">
        <v>14242</v>
      </c>
      <c r="C162" s="23">
        <f t="shared" si="13"/>
        <v>1.0843471646857014E-2</v>
      </c>
      <c r="E162" s="13">
        <v>17.850000000000001</v>
      </c>
      <c r="F162" s="13">
        <f t="shared" si="12"/>
        <v>0.19355596889639773</v>
      </c>
    </row>
    <row r="163" spans="1:6" x14ac:dyDescent="0.25">
      <c r="A163" s="3" t="s">
        <v>145</v>
      </c>
      <c r="B163" s="10">
        <v>12592</v>
      </c>
      <c r="C163" s="23">
        <f t="shared" si="13"/>
        <v>9.5872065002965551E-3</v>
      </c>
      <c r="E163" s="13">
        <v>27.51</v>
      </c>
      <c r="F163" s="13">
        <f t="shared" si="12"/>
        <v>0.26374405082315827</v>
      </c>
    </row>
    <row r="164" spans="1:6" x14ac:dyDescent="0.25">
      <c r="A164" s="3" t="s">
        <v>146</v>
      </c>
      <c r="B164" s="10">
        <v>15555</v>
      </c>
      <c r="C164" s="23">
        <f t="shared" si="13"/>
        <v>1.1843154154392702E-2</v>
      </c>
      <c r="E164" s="13">
        <v>23.45</v>
      </c>
      <c r="F164" s="13">
        <f t="shared" si="12"/>
        <v>0.27772196492050882</v>
      </c>
    </row>
    <row r="165" spans="1:6" x14ac:dyDescent="0.25">
      <c r="A165" s="3" t="s">
        <v>147</v>
      </c>
      <c r="B165" s="10">
        <v>11927</v>
      </c>
      <c r="C165" s="23">
        <f t="shared" si="13"/>
        <v>9.0808935775918836E-3</v>
      </c>
      <c r="E165" s="13">
        <v>22.4</v>
      </c>
      <c r="F165" s="13">
        <f t="shared" si="12"/>
        <v>0.20341201613805818</v>
      </c>
    </row>
    <row r="166" spans="1:6" x14ac:dyDescent="0.25">
      <c r="A166" s="3" t="s">
        <v>148</v>
      </c>
      <c r="B166" s="10">
        <v>9299</v>
      </c>
      <c r="C166" s="23">
        <f t="shared" si="13"/>
        <v>7.0800058168883151E-3</v>
      </c>
      <c r="E166" s="13">
        <v>28.53</v>
      </c>
      <c r="F166" s="13">
        <f t="shared" si="12"/>
        <v>0.20199256595582363</v>
      </c>
    </row>
    <row r="167" spans="1:6" x14ac:dyDescent="0.25">
      <c r="A167" s="3" t="s">
        <v>149</v>
      </c>
      <c r="B167" s="10">
        <v>13128</v>
      </c>
      <c r="C167" s="23">
        <f t="shared" si="13"/>
        <v>9.9953023297246792E-3</v>
      </c>
      <c r="E167" s="13">
        <v>14.22</v>
      </c>
      <c r="F167" s="13">
        <f t="shared" si="12"/>
        <v>0.14213319912868494</v>
      </c>
    </row>
    <row r="168" spans="1:6" x14ac:dyDescent="0.25">
      <c r="A168" s="3" t="s">
        <v>150</v>
      </c>
      <c r="B168" s="10">
        <v>12517</v>
      </c>
      <c r="C168" s="23">
        <f t="shared" si="13"/>
        <v>9.5301035390892609E-3</v>
      </c>
      <c r="E168" s="13">
        <v>27.87</v>
      </c>
      <c r="F168" s="13">
        <f t="shared" si="12"/>
        <v>0.26560398563441773</v>
      </c>
    </row>
    <row r="169" spans="1:6" x14ac:dyDescent="0.25">
      <c r="A169" s="3" t="s">
        <v>151</v>
      </c>
      <c r="B169" s="10">
        <v>27142</v>
      </c>
      <c r="C169" s="23">
        <f t="shared" si="13"/>
        <v>2.0665180974511522E-2</v>
      </c>
      <c r="E169" s="13">
        <v>20.260000000000002</v>
      </c>
      <c r="F169" s="13">
        <f t="shared" si="12"/>
        <v>0.41867656654360347</v>
      </c>
    </row>
    <row r="170" spans="1:6" x14ac:dyDescent="0.25">
      <c r="A170" s="3" t="s">
        <v>152</v>
      </c>
      <c r="B170" s="10">
        <v>11331</v>
      </c>
      <c r="C170" s="23">
        <f t="shared" si="13"/>
        <v>8.6271153791979242E-3</v>
      </c>
      <c r="E170" s="13">
        <v>16.690000000000001</v>
      </c>
      <c r="F170" s="13">
        <f t="shared" si="12"/>
        <v>0.14398655567881335</v>
      </c>
    </row>
    <row r="171" spans="1:6" x14ac:dyDescent="0.25">
      <c r="A171" s="3" t="s">
        <v>153</v>
      </c>
      <c r="B171" s="10">
        <v>12183</v>
      </c>
      <c r="C171" s="23">
        <f t="shared" si="13"/>
        <v>9.2758050185127797E-3</v>
      </c>
      <c r="E171" s="13">
        <v>11.21</v>
      </c>
      <c r="F171" s="13">
        <f t="shared" si="12"/>
        <v>0.10398177425752826</v>
      </c>
    </row>
    <row r="172" spans="1:6" x14ac:dyDescent="0.25">
      <c r="A172" s="3" t="s">
        <v>154</v>
      </c>
      <c r="B172" s="10">
        <v>10511</v>
      </c>
      <c r="C172" s="23">
        <f t="shared" si="13"/>
        <v>8.0027896699981799E-3</v>
      </c>
      <c r="E172" s="13">
        <v>14.64</v>
      </c>
      <c r="F172" s="13">
        <f t="shared" si="12"/>
        <v>0.11716084076877335</v>
      </c>
    </row>
    <row r="173" spans="1:6" x14ac:dyDescent="0.25">
      <c r="A173" s="3" t="s">
        <v>155</v>
      </c>
      <c r="B173" s="10">
        <v>15455</v>
      </c>
      <c r="C173" s="23">
        <f t="shared" si="13"/>
        <v>1.1767016872782978E-2</v>
      </c>
      <c r="E173" s="13">
        <v>15.49</v>
      </c>
      <c r="F173" s="13">
        <f t="shared" si="12"/>
        <v>0.18227109135940833</v>
      </c>
    </row>
    <row r="174" spans="1:6" x14ac:dyDescent="0.25">
      <c r="A174" s="3" t="s">
        <v>156</v>
      </c>
      <c r="B174" s="10">
        <v>15091</v>
      </c>
      <c r="C174" s="23">
        <f t="shared" si="13"/>
        <v>1.1489877167723579E-2</v>
      </c>
      <c r="E174" s="13">
        <v>26.16</v>
      </c>
      <c r="F174" s="13">
        <f t="shared" si="12"/>
        <v>0.30057518670764882</v>
      </c>
    </row>
    <row r="175" spans="1:6" x14ac:dyDescent="0.25">
      <c r="A175" s="3" t="s">
        <v>157</v>
      </c>
      <c r="B175" s="10">
        <v>22062</v>
      </c>
      <c r="C175" s="23">
        <f t="shared" si="13"/>
        <v>1.6797407068737499E-2</v>
      </c>
      <c r="E175" s="13">
        <v>9.57</v>
      </c>
      <c r="F175" s="13">
        <f t="shared" si="12"/>
        <v>0.16075118564781787</v>
      </c>
    </row>
    <row r="176" spans="1:6" x14ac:dyDescent="0.25">
      <c r="A176" s="3" t="s">
        <v>158</v>
      </c>
      <c r="B176" s="10">
        <v>15892</v>
      </c>
      <c r="C176" s="23">
        <f t="shared" si="13"/>
        <v>1.2099736793417476E-2</v>
      </c>
      <c r="E176" s="13">
        <v>5.19</v>
      </c>
      <c r="F176" s="13">
        <f t="shared" si="12"/>
        <v>6.2797633957836704E-2</v>
      </c>
    </row>
    <row r="177" spans="1:6" x14ac:dyDescent="0.25">
      <c r="A177" s="3" t="s">
        <v>159</v>
      </c>
      <c r="B177" s="10">
        <v>45275</v>
      </c>
      <c r="C177" s="23">
        <f t="shared" si="13"/>
        <v>3.4471154248802933E-2</v>
      </c>
      <c r="E177" s="13">
        <v>10.15</v>
      </c>
      <c r="F177" s="13">
        <f t="shared" si="12"/>
        <v>0.34988221562534977</v>
      </c>
    </row>
    <row r="178" spans="1:6" x14ac:dyDescent="0.25">
      <c r="A178" s="3" t="s">
        <v>160</v>
      </c>
      <c r="B178" s="10">
        <v>13909</v>
      </c>
      <c r="C178" s="23">
        <f t="shared" si="13"/>
        <v>1.0589934499096631E-2</v>
      </c>
      <c r="E178" s="13">
        <v>19.510000000000002</v>
      </c>
      <c r="F178" s="13">
        <f t="shared" si="12"/>
        <v>0.20660962207737529</v>
      </c>
    </row>
    <row r="179" spans="1:6" x14ac:dyDescent="0.25">
      <c r="A179" s="3" t="s">
        <v>161</v>
      </c>
      <c r="B179" s="10">
        <v>14173</v>
      </c>
      <c r="C179" s="23">
        <f t="shared" si="13"/>
        <v>1.0790936922546304E-2</v>
      </c>
      <c r="E179" s="13">
        <v>28.5</v>
      </c>
      <c r="F179" s="13">
        <f t="shared" si="12"/>
        <v>0.30754170229256966</v>
      </c>
    </row>
    <row r="180" spans="1:6" x14ac:dyDescent="0.25">
      <c r="A180" s="3" t="s">
        <v>162</v>
      </c>
      <c r="B180" s="10">
        <v>9860</v>
      </c>
      <c r="C180" s="23">
        <f t="shared" si="13"/>
        <v>7.5071359667188715E-3</v>
      </c>
      <c r="E180" s="13">
        <v>17.37</v>
      </c>
      <c r="F180" s="13">
        <f t="shared" si="12"/>
        <v>0.1303989517419068</v>
      </c>
    </row>
    <row r="181" spans="1:6" x14ac:dyDescent="0.25">
      <c r="A181" s="3" t="s">
        <v>163</v>
      </c>
      <c r="B181" s="10">
        <v>17395</v>
      </c>
      <c r="C181" s="23">
        <f t="shared" si="13"/>
        <v>1.324408013601164E-2</v>
      </c>
      <c r="E181" s="13">
        <v>10.68</v>
      </c>
      <c r="F181" s="13">
        <f t="shared" si="12"/>
        <v>0.14144677585260432</v>
      </c>
    </row>
    <row r="182" spans="1:6" x14ac:dyDescent="0.25">
      <c r="A182" s="3" t="s">
        <v>164</v>
      </c>
      <c r="B182" s="10">
        <v>16263</v>
      </c>
      <c r="C182" s="23">
        <f t="shared" si="13"/>
        <v>1.2382206108189554E-2</v>
      </c>
      <c r="E182" s="13">
        <v>28.58</v>
      </c>
      <c r="F182" s="13">
        <f t="shared" si="12"/>
        <v>0.35388345057205745</v>
      </c>
    </row>
    <row r="183" spans="1:6" x14ac:dyDescent="0.25">
      <c r="A183" s="3" t="s">
        <v>165</v>
      </c>
      <c r="B183" s="10">
        <v>18327</v>
      </c>
      <c r="C183" s="23">
        <f t="shared" si="13"/>
        <v>1.3953679600614275E-2</v>
      </c>
      <c r="E183" s="13">
        <v>15.75</v>
      </c>
      <c r="F183" s="13">
        <f t="shared" si="12"/>
        <v>0.21977045370967485</v>
      </c>
    </row>
    <row r="184" spans="1:6" x14ac:dyDescent="0.25">
      <c r="A184" s="3" t="s">
        <v>166</v>
      </c>
      <c r="B184" s="10">
        <v>43316</v>
      </c>
      <c r="C184" s="23">
        <f t="shared" si="13"/>
        <v>3.2979624902068419E-2</v>
      </c>
      <c r="E184" s="13">
        <v>19.87</v>
      </c>
      <c r="F184" s="13">
        <f t="shared" si="12"/>
        <v>0.65530514680409957</v>
      </c>
    </row>
    <row r="185" spans="1:6" x14ac:dyDescent="0.25">
      <c r="A185" s="3" t="s">
        <v>167</v>
      </c>
      <c r="B185" s="10">
        <v>25681</v>
      </c>
      <c r="C185" s="23">
        <f t="shared" si="13"/>
        <v>1.9552815290193443E-2</v>
      </c>
      <c r="E185" s="13">
        <v>30.06</v>
      </c>
      <c r="F185" s="13">
        <f t="shared" si="12"/>
        <v>0.58775762762321493</v>
      </c>
    </row>
    <row r="186" spans="1:6" x14ac:dyDescent="0.25">
      <c r="A186" s="3" t="s">
        <v>168</v>
      </c>
      <c r="B186" s="10">
        <v>21047</v>
      </c>
      <c r="C186" s="23">
        <f t="shared" si="13"/>
        <v>1.6024613660398791E-2</v>
      </c>
      <c r="E186" s="13">
        <v>18.670000000000002</v>
      </c>
      <c r="F186" s="13">
        <f t="shared" si="12"/>
        <v>0.29917953703964545</v>
      </c>
    </row>
    <row r="187" spans="1:6" x14ac:dyDescent="0.25">
      <c r="A187" s="3" t="s">
        <v>169</v>
      </c>
      <c r="B187" s="10">
        <v>10733</v>
      </c>
      <c r="C187" s="23">
        <f t="shared" si="13"/>
        <v>8.1718144351717696E-3</v>
      </c>
      <c r="E187" s="13">
        <v>48.08</v>
      </c>
      <c r="F187" s="13">
        <f t="shared" si="12"/>
        <v>0.39290083804305864</v>
      </c>
    </row>
    <row r="188" spans="1:6" x14ac:dyDescent="0.25">
      <c r="A188" s="3" t="s">
        <v>170</v>
      </c>
      <c r="B188" s="10">
        <v>44050</v>
      </c>
      <c r="C188" s="23">
        <f t="shared" si="13"/>
        <v>3.3538472549083799E-2</v>
      </c>
      <c r="E188" s="13">
        <v>16.34</v>
      </c>
      <c r="F188" s="13">
        <f t="shared" si="12"/>
        <v>0.54801864145202928</v>
      </c>
    </row>
    <row r="189" spans="1:6" x14ac:dyDescent="0.25">
      <c r="A189" s="3" t="s">
        <v>171</v>
      </c>
      <c r="B189" s="10">
        <v>20115</v>
      </c>
      <c r="C189" s="23">
        <f t="shared" si="13"/>
        <v>1.5315014195796155E-2</v>
      </c>
      <c r="E189" s="13">
        <v>24.37</v>
      </c>
      <c r="F189" s="13">
        <f t="shared" si="12"/>
        <v>0.37322689595155234</v>
      </c>
    </row>
    <row r="190" spans="1:6" x14ac:dyDescent="0.25">
      <c r="A190" s="3" t="s">
        <v>172</v>
      </c>
      <c r="B190" s="10">
        <v>36281</v>
      </c>
      <c r="C190" s="23">
        <f t="shared" si="13"/>
        <v>2.7623367140824279E-2</v>
      </c>
      <c r="E190" s="13">
        <v>9.15</v>
      </c>
      <c r="F190" s="13">
        <f t="shared" si="12"/>
        <v>0.25275380933854213</v>
      </c>
    </row>
    <row r="191" spans="1:6" x14ac:dyDescent="0.25">
      <c r="A191" s="3" t="s">
        <v>173</v>
      </c>
      <c r="B191" s="10">
        <v>162273</v>
      </c>
      <c r="C191" s="23">
        <f>B191/B$193</f>
        <v>0.12355025098654883</v>
      </c>
      <c r="E191" s="13">
        <v>19.59</v>
      </c>
      <c r="F191" s="13">
        <f t="shared" si="12"/>
        <v>2.4203494168264914</v>
      </c>
    </row>
    <row r="192" spans="1:6" x14ac:dyDescent="0.25">
      <c r="A192" s="3" t="s">
        <v>174</v>
      </c>
      <c r="B192" s="10">
        <v>315554</v>
      </c>
      <c r="C192" s="23">
        <f t="shared" si="13"/>
        <v>0.24025423761075118</v>
      </c>
      <c r="E192" s="13">
        <v>16.03</v>
      </c>
      <c r="F192" s="13">
        <f t="shared" si="12"/>
        <v>3.8512754289003417</v>
      </c>
    </row>
    <row r="193" spans="1:6" x14ac:dyDescent="0.25">
      <c r="A193" s="20" t="s">
        <v>0</v>
      </c>
      <c r="B193" s="21">
        <f>SUM(B140:B192)</f>
        <v>1313417</v>
      </c>
      <c r="C193" s="22">
        <f>B193/B$193</f>
        <v>1</v>
      </c>
      <c r="D193" s="18"/>
      <c r="E193" s="18"/>
      <c r="F193" s="19">
        <f>SUM(F140:F192)</f>
        <v>19.119851105932081</v>
      </c>
    </row>
    <row r="194" spans="1:6" x14ac:dyDescent="0.25">
      <c r="B194" s="10"/>
      <c r="C194" s="23"/>
      <c r="E194" s="13"/>
      <c r="F194" s="13"/>
    </row>
    <row r="195" spans="1:6" x14ac:dyDescent="0.25">
      <c r="A195" s="17" t="s">
        <v>175</v>
      </c>
      <c r="B195" s="10">
        <f>B114</f>
        <v>1654577</v>
      </c>
      <c r="C195" s="23">
        <f>B195/B$198</f>
        <v>0.51016820121121154</v>
      </c>
      <c r="E195" s="13">
        <f>F114</f>
        <v>17.806792884223579</v>
      </c>
      <c r="F195" s="13">
        <f>E195*C195</f>
        <v>9.0844594950849444</v>
      </c>
    </row>
    <row r="196" spans="1:6" x14ac:dyDescent="0.25">
      <c r="A196" s="17" t="s">
        <v>176</v>
      </c>
      <c r="B196" s="10">
        <f>B138</f>
        <v>275205</v>
      </c>
      <c r="C196" s="23">
        <f>B196/B$198</f>
        <v>8.4856032577711085E-2</v>
      </c>
      <c r="E196" s="13">
        <f>F138</f>
        <v>17.85014959757272</v>
      </c>
      <c r="F196" s="13">
        <f>E196*C196</f>
        <v>1.5146928757686471</v>
      </c>
    </row>
    <row r="197" spans="1:6" x14ac:dyDescent="0.25">
      <c r="A197" s="17" t="s">
        <v>177</v>
      </c>
      <c r="B197" s="10">
        <f>B193</f>
        <v>1313417</v>
      </c>
      <c r="C197" s="23">
        <f>B197/B$198</f>
        <v>0.40497576621107739</v>
      </c>
      <c r="E197" s="13">
        <f>F193</f>
        <v>19.119851105932081</v>
      </c>
      <c r="F197" s="13">
        <f>E197*C197</f>
        <v>7.7430763514665601</v>
      </c>
    </row>
    <row r="198" spans="1:6" x14ac:dyDescent="0.25">
      <c r="A198" s="20" t="s">
        <v>0</v>
      </c>
      <c r="B198" s="21">
        <f>SUM(B195:B197)</f>
        <v>3243199</v>
      </c>
      <c r="C198" s="25">
        <f>B198/B$198</f>
        <v>1</v>
      </c>
      <c r="D198" s="18"/>
      <c r="E198" s="18"/>
      <c r="F198" s="19">
        <f>SUM(F195:F197)</f>
        <v>18.342228722320151</v>
      </c>
    </row>
    <row r="201" spans="1:6" x14ac:dyDescent="0.25">
      <c r="A201" s="9" t="s">
        <v>946</v>
      </c>
    </row>
    <row r="202" spans="1:6" x14ac:dyDescent="0.25">
      <c r="A202" s="3" t="s">
        <v>178</v>
      </c>
      <c r="B202" s="10">
        <v>10415</v>
      </c>
      <c r="C202" s="23">
        <f>B202/B$267</f>
        <v>7.7579779052193354E-3</v>
      </c>
      <c r="E202" s="13">
        <v>33.75</v>
      </c>
      <c r="F202" s="13">
        <f t="shared" ref="F202:F265" si="14">E202*C202</f>
        <v>0.26183175430115257</v>
      </c>
    </row>
    <row r="203" spans="1:6" x14ac:dyDescent="0.25">
      <c r="A203" s="3" t="s">
        <v>179</v>
      </c>
      <c r="B203" s="10">
        <v>36354</v>
      </c>
      <c r="C203" s="23">
        <f t="shared" ref="C203:C266" si="15">B203/B$267</f>
        <v>2.7079551489807365E-2</v>
      </c>
      <c r="E203" s="13">
        <v>11.97</v>
      </c>
      <c r="F203" s="13">
        <f t="shared" si="14"/>
        <v>0.32414223133299419</v>
      </c>
    </row>
    <row r="204" spans="1:6" x14ac:dyDescent="0.25">
      <c r="A204" s="3" t="s">
        <v>180</v>
      </c>
      <c r="B204" s="10">
        <v>38207</v>
      </c>
      <c r="C204" s="23">
        <f t="shared" si="15"/>
        <v>2.8459823506933761E-2</v>
      </c>
      <c r="E204" s="13">
        <v>11.26</v>
      </c>
      <c r="F204" s="13">
        <f t="shared" si="14"/>
        <v>0.32045761268807416</v>
      </c>
    </row>
    <row r="205" spans="1:6" x14ac:dyDescent="0.25">
      <c r="A205" s="3" t="s">
        <v>181</v>
      </c>
      <c r="B205" s="10">
        <v>20766</v>
      </c>
      <c r="C205" s="23">
        <f t="shared" si="15"/>
        <v>1.5468283166565983E-2</v>
      </c>
      <c r="E205" s="13">
        <v>35.57</v>
      </c>
      <c r="F205" s="13">
        <f t="shared" si="14"/>
        <v>0.55020683223475197</v>
      </c>
    </row>
    <row r="206" spans="1:6" x14ac:dyDescent="0.25">
      <c r="A206" s="3" t="s">
        <v>182</v>
      </c>
      <c r="B206" s="10">
        <v>7789</v>
      </c>
      <c r="C206" s="23">
        <f t="shared" si="15"/>
        <v>5.8019097363181376E-3</v>
      </c>
      <c r="E206" s="13">
        <v>46.68</v>
      </c>
      <c r="F206" s="13">
        <f t="shared" si="14"/>
        <v>0.27083314649133067</v>
      </c>
    </row>
    <row r="207" spans="1:6" x14ac:dyDescent="0.25">
      <c r="A207" s="3" t="s">
        <v>183</v>
      </c>
      <c r="B207" s="10">
        <v>7382</v>
      </c>
      <c r="C207" s="23">
        <f t="shared" si="15"/>
        <v>5.4987415166902675E-3</v>
      </c>
      <c r="E207" s="13">
        <v>30.51</v>
      </c>
      <c r="F207" s="13">
        <f t="shared" si="14"/>
        <v>0.16776660367422008</v>
      </c>
    </row>
    <row r="208" spans="1:6" x14ac:dyDescent="0.25">
      <c r="A208" s="3" t="s">
        <v>184</v>
      </c>
      <c r="B208" s="10">
        <v>52421</v>
      </c>
      <c r="C208" s="23">
        <f t="shared" si="15"/>
        <v>3.9047619757033393E-2</v>
      </c>
      <c r="E208" s="13">
        <v>18.46</v>
      </c>
      <c r="F208" s="13">
        <f t="shared" si="14"/>
        <v>0.72081906071483648</v>
      </c>
    </row>
    <row r="209" spans="1:6" x14ac:dyDescent="0.25">
      <c r="A209" s="3" t="s">
        <v>185</v>
      </c>
      <c r="B209" s="10">
        <v>7007</v>
      </c>
      <c r="C209" s="23">
        <f t="shared" si="15"/>
        <v>5.2194096189987407E-3</v>
      </c>
      <c r="E209" s="13">
        <v>28.8</v>
      </c>
      <c r="F209" s="13">
        <f t="shared" si="14"/>
        <v>0.15031899702716373</v>
      </c>
    </row>
    <row r="210" spans="1:6" x14ac:dyDescent="0.25">
      <c r="A210" s="3" t="s">
        <v>186</v>
      </c>
      <c r="B210" s="10">
        <v>6805</v>
      </c>
      <c r="C210" s="23">
        <f t="shared" si="15"/>
        <v>5.0689428367755715E-3</v>
      </c>
      <c r="E210" s="13">
        <v>35.46</v>
      </c>
      <c r="F210" s="13">
        <f t="shared" si="14"/>
        <v>0.17974471299206177</v>
      </c>
    </row>
    <row r="211" spans="1:6" x14ac:dyDescent="0.25">
      <c r="A211" s="3" t="s">
        <v>187</v>
      </c>
      <c r="B211" s="10">
        <v>22980</v>
      </c>
      <c r="C211" s="23">
        <f t="shared" si="15"/>
        <v>1.7117458690536758E-2</v>
      </c>
      <c r="E211" s="13">
        <v>9.92</v>
      </c>
      <c r="F211" s="13">
        <f t="shared" si="14"/>
        <v>0.16980519021012463</v>
      </c>
    </row>
    <row r="212" spans="1:6" x14ac:dyDescent="0.25">
      <c r="A212" s="3" t="s">
        <v>188</v>
      </c>
      <c r="B212" s="10">
        <v>8783</v>
      </c>
      <c r="C212" s="23">
        <f t="shared" si="15"/>
        <v>6.5423254864658111E-3</v>
      </c>
      <c r="E212" s="13">
        <v>22.58</v>
      </c>
      <c r="F212" s="13">
        <f t="shared" si="14"/>
        <v>0.147725709484398</v>
      </c>
    </row>
    <row r="213" spans="1:6" x14ac:dyDescent="0.25">
      <c r="A213" s="3" t="s">
        <v>189</v>
      </c>
      <c r="B213" s="10">
        <v>14314</v>
      </c>
      <c r="C213" s="23">
        <f t="shared" si="15"/>
        <v>1.0662284756150702E-2</v>
      </c>
      <c r="E213" s="13">
        <v>29.41</v>
      </c>
      <c r="F213" s="13">
        <f t="shared" si="14"/>
        <v>0.31357779467839214</v>
      </c>
    </row>
    <row r="214" spans="1:6" x14ac:dyDescent="0.25">
      <c r="A214" s="3" t="s">
        <v>190</v>
      </c>
      <c r="B214" s="10">
        <v>6552</v>
      </c>
      <c r="C214" s="23">
        <f t="shared" si="15"/>
        <v>4.8804869164663549E-3</v>
      </c>
      <c r="E214" s="13">
        <v>17.87</v>
      </c>
      <c r="F214" s="13">
        <f t="shared" si="14"/>
        <v>8.7214301197253763E-2</v>
      </c>
    </row>
    <row r="215" spans="1:6" x14ac:dyDescent="0.25">
      <c r="A215" s="3" t="s">
        <v>191</v>
      </c>
      <c r="B215" s="10">
        <v>12000</v>
      </c>
      <c r="C215" s="23">
        <f t="shared" si="15"/>
        <v>8.9386207261288545E-3</v>
      </c>
      <c r="E215" s="13">
        <v>24.49</v>
      </c>
      <c r="F215" s="13">
        <f t="shared" si="14"/>
        <v>0.21890682158289562</v>
      </c>
    </row>
    <row r="216" spans="1:6" x14ac:dyDescent="0.25">
      <c r="A216" s="3" t="s">
        <v>192</v>
      </c>
      <c r="B216" s="10">
        <v>14072</v>
      </c>
      <c r="C216" s="23">
        <f t="shared" si="15"/>
        <v>1.0482022571507104E-2</v>
      </c>
      <c r="E216" s="13">
        <v>19.89</v>
      </c>
      <c r="F216" s="13">
        <f t="shared" si="14"/>
        <v>0.20848742894727632</v>
      </c>
    </row>
    <row r="217" spans="1:6" x14ac:dyDescent="0.25">
      <c r="A217" s="3" t="s">
        <v>193</v>
      </c>
      <c r="B217" s="10">
        <v>9807</v>
      </c>
      <c r="C217" s="23">
        <f t="shared" si="15"/>
        <v>7.3050877884288067E-3</v>
      </c>
      <c r="E217" s="13">
        <v>25.14</v>
      </c>
      <c r="F217" s="13">
        <f t="shared" si="14"/>
        <v>0.1836499070011002</v>
      </c>
    </row>
    <row r="218" spans="1:6" x14ac:dyDescent="0.25">
      <c r="A218" s="3" t="s">
        <v>194</v>
      </c>
      <c r="B218" s="10">
        <v>20230</v>
      </c>
      <c r="C218" s="23">
        <f t="shared" si="15"/>
        <v>1.5069024774132227E-2</v>
      </c>
      <c r="E218" s="13">
        <v>11.94</v>
      </c>
      <c r="F218" s="13">
        <f t="shared" si="14"/>
        <v>0.17992415580313878</v>
      </c>
    </row>
    <row r="219" spans="1:6" x14ac:dyDescent="0.25">
      <c r="A219" s="3" t="s">
        <v>195</v>
      </c>
      <c r="B219" s="10">
        <v>11370</v>
      </c>
      <c r="C219" s="23">
        <f t="shared" si="15"/>
        <v>8.4693431380070891E-3</v>
      </c>
      <c r="E219" s="13">
        <v>32.979999999999997</v>
      </c>
      <c r="F219" s="13">
        <f t="shared" si="14"/>
        <v>0.27931893669147378</v>
      </c>
    </row>
    <row r="220" spans="1:6" x14ac:dyDescent="0.25">
      <c r="A220" s="3" t="s">
        <v>196</v>
      </c>
      <c r="B220" s="10">
        <v>77893</v>
      </c>
      <c r="C220" s="23">
        <f t="shared" si="15"/>
        <v>5.8021332018362903E-2</v>
      </c>
      <c r="E220" s="13">
        <v>12.71</v>
      </c>
      <c r="F220" s="13">
        <f t="shared" si="14"/>
        <v>0.73745112995339257</v>
      </c>
    </row>
    <row r="221" spans="1:6" x14ac:dyDescent="0.25">
      <c r="A221" s="3" t="s">
        <v>197</v>
      </c>
      <c r="B221" s="10">
        <v>7128</v>
      </c>
      <c r="C221" s="23">
        <f t="shared" si="15"/>
        <v>5.3095407113205395E-3</v>
      </c>
      <c r="E221" s="13">
        <v>22.72</v>
      </c>
      <c r="F221" s="13">
        <f t="shared" si="14"/>
        <v>0.12063276496120265</v>
      </c>
    </row>
    <row r="222" spans="1:6" x14ac:dyDescent="0.25">
      <c r="A222" s="3" t="s">
        <v>198</v>
      </c>
      <c r="B222" s="10">
        <v>35102</v>
      </c>
      <c r="C222" s="23">
        <f t="shared" si="15"/>
        <v>2.6146955394047922E-2</v>
      </c>
      <c r="E222" s="13">
        <v>15.75</v>
      </c>
      <c r="F222" s="13">
        <f t="shared" si="14"/>
        <v>0.41181454745625479</v>
      </c>
    </row>
    <row r="223" spans="1:6" x14ac:dyDescent="0.25">
      <c r="A223" s="3" t="s">
        <v>199</v>
      </c>
      <c r="B223" s="10">
        <v>9288</v>
      </c>
      <c r="C223" s="23">
        <f t="shared" si="15"/>
        <v>6.9184924420237336E-3</v>
      </c>
      <c r="E223" s="13">
        <v>24.36</v>
      </c>
      <c r="F223" s="13">
        <f t="shared" si="14"/>
        <v>0.16853447588769815</v>
      </c>
    </row>
    <row r="224" spans="1:6" x14ac:dyDescent="0.25">
      <c r="A224" s="3" t="s">
        <v>200</v>
      </c>
      <c r="B224" s="10">
        <v>11485</v>
      </c>
      <c r="C224" s="23">
        <f t="shared" si="15"/>
        <v>8.5550049199658255E-3</v>
      </c>
      <c r="E224" s="13">
        <v>30.31</v>
      </c>
      <c r="F224" s="13">
        <f t="shared" si="14"/>
        <v>0.25930219912416413</v>
      </c>
    </row>
    <row r="225" spans="1:6" x14ac:dyDescent="0.25">
      <c r="A225" s="3" t="s">
        <v>201</v>
      </c>
      <c r="B225" s="10">
        <v>8314</v>
      </c>
      <c r="C225" s="23">
        <f t="shared" si="15"/>
        <v>6.1929743930862749E-3</v>
      </c>
      <c r="E225" s="13">
        <v>19.97</v>
      </c>
      <c r="F225" s="13">
        <f t="shared" si="14"/>
        <v>0.1236736986299329</v>
      </c>
    </row>
    <row r="226" spans="1:6" x14ac:dyDescent="0.25">
      <c r="A226" s="3" t="s">
        <v>202</v>
      </c>
      <c r="B226" s="10">
        <v>53348</v>
      </c>
      <c r="C226" s="23">
        <f t="shared" si="15"/>
        <v>3.9738128208126847E-2</v>
      </c>
      <c r="E226" s="13">
        <v>14.57</v>
      </c>
      <c r="F226" s="13">
        <f t="shared" si="14"/>
        <v>0.57898452799240818</v>
      </c>
    </row>
    <row r="227" spans="1:6" x14ac:dyDescent="0.25">
      <c r="A227" s="3" t="s">
        <v>203</v>
      </c>
      <c r="B227" s="10">
        <v>37333</v>
      </c>
      <c r="C227" s="23">
        <f t="shared" si="15"/>
        <v>2.7808793964047378E-2</v>
      </c>
      <c r="E227" s="13">
        <v>10.97</v>
      </c>
      <c r="F227" s="13">
        <f t="shared" si="14"/>
        <v>0.30506246978559975</v>
      </c>
    </row>
    <row r="228" spans="1:6" x14ac:dyDescent="0.25">
      <c r="A228" s="3" t="s">
        <v>204</v>
      </c>
      <c r="B228" s="10">
        <v>6247</v>
      </c>
      <c r="C228" s="23">
        <f t="shared" si="15"/>
        <v>4.6532969730105796E-3</v>
      </c>
      <c r="E228" s="13">
        <v>25.35</v>
      </c>
      <c r="F228" s="13">
        <f t="shared" si="14"/>
        <v>0.1179610782658182</v>
      </c>
    </row>
    <row r="229" spans="1:6" x14ac:dyDescent="0.25">
      <c r="A229" s="3" t="s">
        <v>205</v>
      </c>
      <c r="B229" s="10">
        <v>15874</v>
      </c>
      <c r="C229" s="23">
        <f t="shared" si="15"/>
        <v>1.1824305450547454E-2</v>
      </c>
      <c r="E229" s="13">
        <v>29.77</v>
      </c>
      <c r="F229" s="13">
        <f t="shared" si="14"/>
        <v>0.35200957326279769</v>
      </c>
    </row>
    <row r="230" spans="1:6" x14ac:dyDescent="0.25">
      <c r="A230" s="3" t="s">
        <v>206</v>
      </c>
      <c r="B230" s="10">
        <v>19757</v>
      </c>
      <c r="C230" s="23">
        <f t="shared" si="15"/>
        <v>1.4716694140510649E-2</v>
      </c>
      <c r="E230" s="13">
        <v>31.34</v>
      </c>
      <c r="F230" s="13">
        <f t="shared" si="14"/>
        <v>0.46122119436360376</v>
      </c>
    </row>
    <row r="231" spans="1:6" x14ac:dyDescent="0.25">
      <c r="A231" s="3" t="s">
        <v>207</v>
      </c>
      <c r="B231" s="10">
        <v>9733</v>
      </c>
      <c r="C231" s="23">
        <f t="shared" si="15"/>
        <v>7.249966293951012E-3</v>
      </c>
      <c r="E231" s="13">
        <v>38.229999999999997</v>
      </c>
      <c r="F231" s="13">
        <f t="shared" si="14"/>
        <v>0.27716621141774717</v>
      </c>
    </row>
    <row r="232" spans="1:6" x14ac:dyDescent="0.25">
      <c r="A232" s="3" t="s">
        <v>208</v>
      </c>
      <c r="B232" s="10">
        <v>29644</v>
      </c>
      <c r="C232" s="23">
        <f t="shared" si="15"/>
        <v>2.2081372733780313E-2</v>
      </c>
      <c r="E232" s="13">
        <v>13.43</v>
      </c>
      <c r="F232" s="13">
        <f t="shared" si="14"/>
        <v>0.29655283581466957</v>
      </c>
    </row>
    <row r="233" spans="1:6" x14ac:dyDescent="0.25">
      <c r="A233" s="3" t="s">
        <v>209</v>
      </c>
      <c r="B233" s="10">
        <v>11500</v>
      </c>
      <c r="C233" s="23">
        <f t="shared" si="15"/>
        <v>8.5661781958734865E-3</v>
      </c>
      <c r="E233" s="13">
        <v>32.74</v>
      </c>
      <c r="F233" s="13">
        <f t="shared" si="14"/>
        <v>0.28045667413289799</v>
      </c>
    </row>
    <row r="234" spans="1:6" x14ac:dyDescent="0.25">
      <c r="A234" s="3" t="s">
        <v>210</v>
      </c>
      <c r="B234" s="10">
        <v>14455</v>
      </c>
      <c r="C234" s="23">
        <f t="shared" si="15"/>
        <v>1.0767313549682717E-2</v>
      </c>
      <c r="E234" s="13">
        <v>16.34</v>
      </c>
      <c r="F234" s="13">
        <f t="shared" si="14"/>
        <v>0.17593790340181559</v>
      </c>
    </row>
    <row r="235" spans="1:6" x14ac:dyDescent="0.25">
      <c r="A235" s="3" t="s">
        <v>211</v>
      </c>
      <c r="B235" s="10">
        <v>13671</v>
      </c>
      <c r="C235" s="23">
        <f t="shared" si="15"/>
        <v>1.0183323662242299E-2</v>
      </c>
      <c r="E235" s="13">
        <v>32.57</v>
      </c>
      <c r="F235" s="13">
        <f t="shared" si="14"/>
        <v>0.33167085167923166</v>
      </c>
    </row>
    <row r="236" spans="1:6" x14ac:dyDescent="0.25">
      <c r="A236" s="3" t="s">
        <v>212</v>
      </c>
      <c r="B236" s="10">
        <v>20222</v>
      </c>
      <c r="C236" s="23">
        <f t="shared" si="15"/>
        <v>1.5063065693648141E-2</v>
      </c>
      <c r="E236" s="13">
        <v>38.94</v>
      </c>
      <c r="F236" s="13">
        <f t="shared" si="14"/>
        <v>0.58655577811065862</v>
      </c>
    </row>
    <row r="237" spans="1:6" x14ac:dyDescent="0.25">
      <c r="A237" s="3" t="s">
        <v>213</v>
      </c>
      <c r="B237" s="10">
        <v>12863</v>
      </c>
      <c r="C237" s="23">
        <f t="shared" si="15"/>
        <v>9.5814565333496218E-3</v>
      </c>
      <c r="E237" s="13">
        <v>38.590000000000003</v>
      </c>
      <c r="F237" s="13">
        <f t="shared" si="14"/>
        <v>0.36974840762196193</v>
      </c>
    </row>
    <row r="238" spans="1:6" x14ac:dyDescent="0.25">
      <c r="A238" s="3" t="s">
        <v>214</v>
      </c>
      <c r="B238" s="10">
        <v>37616</v>
      </c>
      <c r="C238" s="23">
        <f t="shared" si="15"/>
        <v>2.8019596436171915E-2</v>
      </c>
      <c r="E238" s="13">
        <v>14.73</v>
      </c>
      <c r="F238" s="13">
        <f t="shared" si="14"/>
        <v>0.4127286555048123</v>
      </c>
    </row>
    <row r="239" spans="1:6" x14ac:dyDescent="0.25">
      <c r="A239" s="3" t="s">
        <v>215</v>
      </c>
      <c r="B239" s="10">
        <v>15822</v>
      </c>
      <c r="C239" s="23">
        <f t="shared" si="15"/>
        <v>1.1785571427400894E-2</v>
      </c>
      <c r="E239" s="13">
        <v>32.770000000000003</v>
      </c>
      <c r="F239" s="13">
        <f t="shared" si="14"/>
        <v>0.38621317567592733</v>
      </c>
    </row>
    <row r="240" spans="1:6" x14ac:dyDescent="0.25">
      <c r="A240" s="3" t="s">
        <v>216</v>
      </c>
      <c r="B240" s="10">
        <v>11681</v>
      </c>
      <c r="C240" s="23">
        <f t="shared" si="15"/>
        <v>8.7010023918259287E-3</v>
      </c>
      <c r="E240" s="13">
        <v>34.03</v>
      </c>
      <c r="F240" s="13">
        <f t="shared" si="14"/>
        <v>0.29609511139383637</v>
      </c>
    </row>
    <row r="241" spans="1:6" x14ac:dyDescent="0.25">
      <c r="A241" s="3" t="s">
        <v>217</v>
      </c>
      <c r="B241" s="10">
        <v>37030</v>
      </c>
      <c r="C241" s="23">
        <f t="shared" si="15"/>
        <v>2.7583093790712623E-2</v>
      </c>
      <c r="E241" s="13">
        <v>16.32</v>
      </c>
      <c r="F241" s="13">
        <f t="shared" si="14"/>
        <v>0.45015609066443002</v>
      </c>
    </row>
    <row r="242" spans="1:6" x14ac:dyDescent="0.25">
      <c r="A242" s="3" t="s">
        <v>218</v>
      </c>
      <c r="B242" s="10">
        <v>47468</v>
      </c>
      <c r="C242" s="23">
        <f t="shared" si="15"/>
        <v>3.5358204052323705E-2</v>
      </c>
      <c r="E242" s="13">
        <v>17.149999999999999</v>
      </c>
      <c r="F242" s="13">
        <f t="shared" si="14"/>
        <v>0.60639319949735149</v>
      </c>
    </row>
    <row r="243" spans="1:6" x14ac:dyDescent="0.25">
      <c r="A243" s="3" t="s">
        <v>219</v>
      </c>
      <c r="B243" s="10">
        <v>12141</v>
      </c>
      <c r="C243" s="23">
        <f t="shared" si="15"/>
        <v>9.043649519660869E-3</v>
      </c>
      <c r="E243" s="13">
        <v>41.12</v>
      </c>
      <c r="F243" s="13">
        <f t="shared" si="14"/>
        <v>0.37187486824845489</v>
      </c>
    </row>
    <row r="244" spans="1:6" x14ac:dyDescent="0.25">
      <c r="A244" s="3" t="s">
        <v>220</v>
      </c>
      <c r="B244" s="10">
        <v>25259</v>
      </c>
      <c r="C244" s="23">
        <f t="shared" si="15"/>
        <v>1.8815051743440728E-2</v>
      </c>
      <c r="E244" s="13">
        <v>12.03</v>
      </c>
      <c r="F244" s="13">
        <f t="shared" si="14"/>
        <v>0.22634507247359195</v>
      </c>
    </row>
    <row r="245" spans="1:6" x14ac:dyDescent="0.25">
      <c r="A245" s="3" t="s">
        <v>221</v>
      </c>
      <c r="B245" s="10">
        <v>10402</v>
      </c>
      <c r="C245" s="23">
        <f t="shared" si="15"/>
        <v>7.7482943994326954E-3</v>
      </c>
      <c r="E245" s="13">
        <v>22.06</v>
      </c>
      <c r="F245" s="13">
        <f t="shared" si="14"/>
        <v>0.17092737445148526</v>
      </c>
    </row>
    <row r="246" spans="1:6" x14ac:dyDescent="0.25">
      <c r="A246" s="3" t="s">
        <v>222</v>
      </c>
      <c r="B246" s="10">
        <v>19901</v>
      </c>
      <c r="C246" s="23">
        <f t="shared" si="15"/>
        <v>1.4823957589224194E-2</v>
      </c>
      <c r="E246" s="13">
        <v>33.119999999999997</v>
      </c>
      <c r="F246" s="13">
        <f t="shared" si="14"/>
        <v>0.49096947535510527</v>
      </c>
    </row>
    <row r="247" spans="1:6" x14ac:dyDescent="0.25">
      <c r="A247" s="3" t="s">
        <v>223</v>
      </c>
      <c r="B247" s="10">
        <v>13253</v>
      </c>
      <c r="C247" s="23">
        <f t="shared" si="15"/>
        <v>9.8719617069488088E-3</v>
      </c>
      <c r="E247" s="13">
        <v>27.02</v>
      </c>
      <c r="F247" s="13">
        <f t="shared" si="14"/>
        <v>0.2667404053217568</v>
      </c>
    </row>
    <row r="248" spans="1:6" x14ac:dyDescent="0.25">
      <c r="A248" s="3" t="s">
        <v>224</v>
      </c>
      <c r="B248" s="10">
        <v>10840</v>
      </c>
      <c r="C248" s="23">
        <f t="shared" si="15"/>
        <v>8.074554055936399E-3</v>
      </c>
      <c r="E248" s="13">
        <v>32.43</v>
      </c>
      <c r="F248" s="13">
        <f t="shared" si="14"/>
        <v>0.26185778803401744</v>
      </c>
    </row>
    <row r="249" spans="1:6" x14ac:dyDescent="0.25">
      <c r="A249" s="3" t="s">
        <v>225</v>
      </c>
      <c r="B249" s="10">
        <v>20895</v>
      </c>
      <c r="C249" s="23">
        <f t="shared" si="15"/>
        <v>1.5564373339371869E-2</v>
      </c>
      <c r="E249" s="13">
        <v>27.61</v>
      </c>
      <c r="F249" s="13">
        <f t="shared" si="14"/>
        <v>0.42973234790005727</v>
      </c>
    </row>
    <row r="250" spans="1:6" x14ac:dyDescent="0.25">
      <c r="A250" s="3" t="s">
        <v>226</v>
      </c>
      <c r="B250" s="10">
        <v>40245</v>
      </c>
      <c r="C250" s="23">
        <f t="shared" si="15"/>
        <v>2.9977899260254647E-2</v>
      </c>
      <c r="E250" s="13">
        <v>15.94</v>
      </c>
      <c r="F250" s="13">
        <f t="shared" si="14"/>
        <v>0.47784771420845906</v>
      </c>
    </row>
    <row r="251" spans="1:6" x14ac:dyDescent="0.25">
      <c r="A251" s="3" t="s">
        <v>227</v>
      </c>
      <c r="B251" s="10">
        <v>71930</v>
      </c>
      <c r="C251" s="23">
        <f t="shared" si="15"/>
        <v>5.3579582402537379E-2</v>
      </c>
      <c r="E251" s="13">
        <v>12.31</v>
      </c>
      <c r="F251" s="13">
        <f t="shared" si="14"/>
        <v>0.65956465937523512</v>
      </c>
    </row>
    <row r="252" spans="1:6" x14ac:dyDescent="0.25">
      <c r="A252" s="3" t="s">
        <v>228</v>
      </c>
      <c r="B252" s="10">
        <v>43489</v>
      </c>
      <c r="C252" s="23">
        <f t="shared" si="15"/>
        <v>3.2394306396551477E-2</v>
      </c>
      <c r="E252" s="13">
        <v>14.35</v>
      </c>
      <c r="F252" s="13">
        <f t="shared" si="14"/>
        <v>0.46485829679051366</v>
      </c>
    </row>
    <row r="253" spans="1:6" x14ac:dyDescent="0.25">
      <c r="A253" s="3" t="s">
        <v>229</v>
      </c>
      <c r="B253" s="10">
        <v>17361</v>
      </c>
      <c r="C253" s="23">
        <f t="shared" si="15"/>
        <v>1.2931949535526921E-2</v>
      </c>
      <c r="E253" s="13">
        <v>24.9</v>
      </c>
      <c r="F253" s="13">
        <f t="shared" si="14"/>
        <v>0.32200554343462034</v>
      </c>
    </row>
    <row r="254" spans="1:6" x14ac:dyDescent="0.25">
      <c r="A254" s="3" t="s">
        <v>230</v>
      </c>
      <c r="B254" s="10">
        <v>49824</v>
      </c>
      <c r="C254" s="23">
        <f t="shared" si="15"/>
        <v>3.7113153254887003E-2</v>
      </c>
      <c r="E254" s="13">
        <v>12.75</v>
      </c>
      <c r="F254" s="13">
        <f t="shared" si="14"/>
        <v>0.47319270399980928</v>
      </c>
    </row>
    <row r="255" spans="1:6" x14ac:dyDescent="0.25">
      <c r="A255" s="3" t="s">
        <v>231</v>
      </c>
      <c r="B255" s="10">
        <v>8830</v>
      </c>
      <c r="C255" s="23">
        <f t="shared" si="15"/>
        <v>6.5773350843098153E-3</v>
      </c>
      <c r="E255" s="13">
        <v>23.14</v>
      </c>
      <c r="F255" s="13">
        <f t="shared" si="14"/>
        <v>0.15219953385092913</v>
      </c>
    </row>
    <row r="256" spans="1:6" x14ac:dyDescent="0.25">
      <c r="A256" s="3" t="s">
        <v>232</v>
      </c>
      <c r="B256" s="10">
        <v>8317</v>
      </c>
      <c r="C256" s="23">
        <f t="shared" si="15"/>
        <v>6.1952090482678074E-3</v>
      </c>
      <c r="E256" s="13">
        <v>23.24</v>
      </c>
      <c r="F256" s="13">
        <f t="shared" si="14"/>
        <v>0.14397665828174383</v>
      </c>
    </row>
    <row r="257" spans="1:6" x14ac:dyDescent="0.25">
      <c r="A257" s="3" t="s">
        <v>233</v>
      </c>
      <c r="B257" s="10">
        <v>11208</v>
      </c>
      <c r="C257" s="23">
        <f t="shared" si="15"/>
        <v>8.3486717582043502E-3</v>
      </c>
      <c r="E257" s="13">
        <v>30.06</v>
      </c>
      <c r="F257" s="13">
        <f t="shared" si="14"/>
        <v>0.25096107305162274</v>
      </c>
    </row>
    <row r="258" spans="1:6" x14ac:dyDescent="0.25">
      <c r="A258" s="3" t="s">
        <v>234</v>
      </c>
      <c r="B258" s="10">
        <v>7564</v>
      </c>
      <c r="C258" s="23">
        <f t="shared" si="15"/>
        <v>5.6343105977032211E-3</v>
      </c>
      <c r="E258" s="13">
        <v>23.61</v>
      </c>
      <c r="F258" s="13">
        <f t="shared" si="14"/>
        <v>0.13302607321177304</v>
      </c>
    </row>
    <row r="259" spans="1:6" x14ac:dyDescent="0.25">
      <c r="A259" s="3" t="s">
        <v>235</v>
      </c>
      <c r="B259" s="10">
        <v>11832</v>
      </c>
      <c r="C259" s="23">
        <f t="shared" si="15"/>
        <v>8.8134800359630505E-3</v>
      </c>
      <c r="E259" s="13">
        <v>27.7</v>
      </c>
      <c r="F259" s="13">
        <f t="shared" si="14"/>
        <v>0.2441333969961765</v>
      </c>
    </row>
    <row r="260" spans="1:6" x14ac:dyDescent="0.25">
      <c r="A260" s="3" t="s">
        <v>236</v>
      </c>
      <c r="B260" s="10">
        <v>15336</v>
      </c>
      <c r="C260" s="23">
        <f t="shared" si="15"/>
        <v>1.1423557287992676E-2</v>
      </c>
      <c r="E260" s="13">
        <v>34.29</v>
      </c>
      <c r="F260" s="13">
        <f t="shared" si="14"/>
        <v>0.39171377940526886</v>
      </c>
    </row>
    <row r="261" spans="1:6" x14ac:dyDescent="0.25">
      <c r="A261" s="3" t="s">
        <v>237</v>
      </c>
      <c r="B261" s="10">
        <v>19595</v>
      </c>
      <c r="C261" s="23">
        <f t="shared" si="15"/>
        <v>1.4596022760707908E-2</v>
      </c>
      <c r="E261" s="13">
        <v>27.43</v>
      </c>
      <c r="F261" s="13">
        <f t="shared" si="14"/>
        <v>0.40036890432621791</v>
      </c>
    </row>
    <row r="262" spans="1:6" x14ac:dyDescent="0.25">
      <c r="A262" s="3" t="s">
        <v>238</v>
      </c>
      <c r="B262" s="10">
        <v>6651</v>
      </c>
      <c r="C262" s="23">
        <f t="shared" si="15"/>
        <v>4.954230537456918E-3</v>
      </c>
      <c r="E262" s="13">
        <v>29.63</v>
      </c>
      <c r="F262" s="13">
        <f t="shared" si="14"/>
        <v>0.14679385082484847</v>
      </c>
    </row>
    <row r="263" spans="1:6" x14ac:dyDescent="0.25">
      <c r="A263" s="3" t="s">
        <v>239</v>
      </c>
      <c r="B263" s="10">
        <v>20807</v>
      </c>
      <c r="C263" s="23">
        <f t="shared" si="15"/>
        <v>1.5498823454046923E-2</v>
      </c>
      <c r="E263" s="13">
        <v>12.12</v>
      </c>
      <c r="F263" s="13">
        <f t="shared" si="14"/>
        <v>0.1878457402630487</v>
      </c>
    </row>
    <row r="264" spans="1:6" x14ac:dyDescent="0.25">
      <c r="A264" s="3" t="s">
        <v>240</v>
      </c>
      <c r="B264" s="10">
        <v>9616</v>
      </c>
      <c r="C264" s="23">
        <f t="shared" si="15"/>
        <v>7.1628147418712554E-3</v>
      </c>
      <c r="E264" s="13">
        <v>18.79</v>
      </c>
      <c r="F264" s="13">
        <f t="shared" si="14"/>
        <v>0.13458928899976089</v>
      </c>
    </row>
    <row r="265" spans="1:6" x14ac:dyDescent="0.25">
      <c r="A265" s="3" t="s">
        <v>241</v>
      </c>
      <c r="B265" s="10">
        <v>13304</v>
      </c>
      <c r="C265" s="23">
        <f t="shared" si="15"/>
        <v>9.909950845034857E-3</v>
      </c>
      <c r="E265" s="13">
        <v>23.22</v>
      </c>
      <c r="F265" s="13">
        <f t="shared" si="14"/>
        <v>0.23010905862170936</v>
      </c>
    </row>
    <row r="266" spans="1:6" x14ac:dyDescent="0.25">
      <c r="A266" s="3" t="s">
        <v>242</v>
      </c>
      <c r="B266" s="10">
        <v>23161</v>
      </c>
      <c r="C266" s="23">
        <f t="shared" si="15"/>
        <v>1.7252282886489199E-2</v>
      </c>
      <c r="E266" s="13">
        <v>12.96</v>
      </c>
      <c r="F266" s="13">
        <f>E266*C266</f>
        <v>0.22358958620890004</v>
      </c>
    </row>
    <row r="267" spans="1:6" x14ac:dyDescent="0.25">
      <c r="A267" s="20" t="s">
        <v>0</v>
      </c>
      <c r="B267" s="21">
        <f>SUM(B199:B266)</f>
        <v>1342489</v>
      </c>
      <c r="C267" s="22">
        <f>B267/B$267</f>
        <v>1</v>
      </c>
      <c r="D267" s="18"/>
      <c r="E267" s="18"/>
      <c r="F267" s="19">
        <f>SUM(F199:F266)</f>
        <v>20.096276945285961</v>
      </c>
    </row>
    <row r="268" spans="1:6" x14ac:dyDescent="0.25">
      <c r="B268" s="10"/>
      <c r="C268" s="23"/>
      <c r="E268" s="13"/>
      <c r="F268" s="13"/>
    </row>
    <row r="269" spans="1:6" x14ac:dyDescent="0.25">
      <c r="A269" s="17" t="s">
        <v>243</v>
      </c>
      <c r="B269" s="10">
        <f>B267</f>
        <v>1342489</v>
      </c>
      <c r="C269" s="23">
        <f t="shared" ref="C269:C306" si="16">B269/B$306</f>
        <v>0.58139813864456258</v>
      </c>
      <c r="E269" s="13">
        <f>F267</f>
        <v>20.096276945285961</v>
      </c>
      <c r="F269" s="13">
        <f t="shared" ref="F269:F305" si="17">E269*C269</f>
        <v>11.683938009674893</v>
      </c>
    </row>
    <row r="270" spans="1:6" x14ac:dyDescent="0.25">
      <c r="A270" s="3" t="s">
        <v>244</v>
      </c>
      <c r="B270" s="10">
        <v>49263</v>
      </c>
      <c r="C270" s="23">
        <f t="shared" si="16"/>
        <v>2.1334563265730359E-2</v>
      </c>
      <c r="E270" s="13">
        <v>11.61</v>
      </c>
      <c r="F270" s="13">
        <f t="shared" si="17"/>
        <v>0.24769427951512946</v>
      </c>
    </row>
    <row r="271" spans="1:6" x14ac:dyDescent="0.25">
      <c r="A271" s="3" t="s">
        <v>245</v>
      </c>
      <c r="B271" s="10">
        <v>18438</v>
      </c>
      <c r="C271" s="23">
        <f t="shared" si="16"/>
        <v>7.9850329353376038E-3</v>
      </c>
      <c r="E271" s="13">
        <v>27.93</v>
      </c>
      <c r="F271" s="13">
        <f t="shared" si="17"/>
        <v>0.22302196988397927</v>
      </c>
    </row>
    <row r="272" spans="1:6" x14ac:dyDescent="0.25">
      <c r="A272" s="3" t="s">
        <v>246</v>
      </c>
      <c r="B272" s="10">
        <v>20548</v>
      </c>
      <c r="C272" s="23">
        <f t="shared" si="16"/>
        <v>8.8988207373531334E-3</v>
      </c>
      <c r="E272" s="13">
        <v>26.74</v>
      </c>
      <c r="F272" s="13">
        <f t="shared" si="17"/>
        <v>0.23795446651682278</v>
      </c>
    </row>
    <row r="273" spans="1:6" x14ac:dyDescent="0.25">
      <c r="A273" s="3" t="s">
        <v>247</v>
      </c>
      <c r="B273" s="10">
        <v>17298</v>
      </c>
      <c r="C273" s="23">
        <f t="shared" si="16"/>
        <v>7.4913276773766061E-3</v>
      </c>
      <c r="E273" s="13">
        <v>25.6</v>
      </c>
      <c r="F273" s="13">
        <f t="shared" si="17"/>
        <v>0.19177798854084113</v>
      </c>
    </row>
    <row r="274" spans="1:6" x14ac:dyDescent="0.25">
      <c r="A274" s="3" t="s">
        <v>248</v>
      </c>
      <c r="B274" s="10">
        <v>43058</v>
      </c>
      <c r="C274" s="23">
        <f t="shared" si="16"/>
        <v>1.8647334208144406E-2</v>
      </c>
      <c r="E274" s="13">
        <v>12.34</v>
      </c>
      <c r="F274" s="13">
        <f t="shared" si="17"/>
        <v>0.23010810412850197</v>
      </c>
    </row>
    <row r="275" spans="1:6" x14ac:dyDescent="0.25">
      <c r="A275" s="3" t="s">
        <v>249</v>
      </c>
      <c r="B275" s="10">
        <v>86868</v>
      </c>
      <c r="C275" s="23">
        <f t="shared" si="16"/>
        <v>3.762034065662799E-2</v>
      </c>
      <c r="E275" s="13">
        <v>18.04</v>
      </c>
      <c r="F275" s="13">
        <f t="shared" si="17"/>
        <v>0.67867094544556894</v>
      </c>
    </row>
    <row r="276" spans="1:6" x14ac:dyDescent="0.25">
      <c r="A276" s="3" t="s">
        <v>250</v>
      </c>
      <c r="B276" s="10">
        <v>46658</v>
      </c>
      <c r="C276" s="23">
        <f t="shared" si="16"/>
        <v>2.0206403443810712E-2</v>
      </c>
      <c r="E276" s="13">
        <v>12.23</v>
      </c>
      <c r="F276" s="13">
        <f t="shared" si="17"/>
        <v>0.247124314117805</v>
      </c>
    </row>
    <row r="277" spans="1:6" x14ac:dyDescent="0.25">
      <c r="A277" s="3" t="s">
        <v>251</v>
      </c>
      <c r="B277" s="10">
        <v>26163</v>
      </c>
      <c r="C277" s="23">
        <f t="shared" si="16"/>
        <v>1.1330535670204887E-2</v>
      </c>
      <c r="E277" s="13">
        <v>12.26</v>
      </c>
      <c r="F277" s="13">
        <f t="shared" si="17"/>
        <v>0.13891236731671192</v>
      </c>
    </row>
    <row r="278" spans="1:6" x14ac:dyDescent="0.25">
      <c r="A278" s="3" t="s">
        <v>252</v>
      </c>
      <c r="B278" s="10">
        <v>60892</v>
      </c>
      <c r="C278" s="23">
        <f t="shared" si="16"/>
        <v>2.6370789971720217E-2</v>
      </c>
      <c r="E278" s="13">
        <v>12.79</v>
      </c>
      <c r="F278" s="13">
        <f t="shared" si="17"/>
        <v>0.33728240373830154</v>
      </c>
    </row>
    <row r="279" spans="1:6" x14ac:dyDescent="0.25">
      <c r="A279" s="3" t="s">
        <v>253</v>
      </c>
      <c r="B279" s="10">
        <v>29680</v>
      </c>
      <c r="C279" s="23">
        <f t="shared" si="16"/>
        <v>1.2853659698493333E-2</v>
      </c>
      <c r="E279" s="13">
        <v>12.22</v>
      </c>
      <c r="F279" s="13">
        <f t="shared" si="17"/>
        <v>0.15707172151558854</v>
      </c>
    </row>
    <row r="280" spans="1:6" x14ac:dyDescent="0.25">
      <c r="A280" s="3" t="s">
        <v>254</v>
      </c>
      <c r="B280" s="10">
        <v>10359</v>
      </c>
      <c r="C280" s="23">
        <f t="shared" si="16"/>
        <v>4.4862217256297987E-3</v>
      </c>
      <c r="E280" s="13">
        <v>29.88</v>
      </c>
      <c r="F280" s="13">
        <f t="shared" si="17"/>
        <v>0.13404830516181837</v>
      </c>
    </row>
    <row r="281" spans="1:6" x14ac:dyDescent="0.25">
      <c r="A281" s="3" t="s">
        <v>255</v>
      </c>
      <c r="B281" s="10">
        <v>12451</v>
      </c>
      <c r="C281" s="23">
        <f t="shared" si="16"/>
        <v>5.3922141814669979E-3</v>
      </c>
      <c r="E281" s="13">
        <v>19.39</v>
      </c>
      <c r="F281" s="13">
        <f t="shared" si="17"/>
        <v>0.10455503297864509</v>
      </c>
    </row>
    <row r="282" spans="1:6" x14ac:dyDescent="0.25">
      <c r="A282" s="3" t="s">
        <v>256</v>
      </c>
      <c r="B282" s="10">
        <v>12326</v>
      </c>
      <c r="C282" s="23">
        <f t="shared" si="16"/>
        <v>5.3380798330063617E-3</v>
      </c>
      <c r="E282" s="13">
        <v>28.81</v>
      </c>
      <c r="F282" s="13">
        <f t="shared" si="17"/>
        <v>0.15379007998891328</v>
      </c>
    </row>
    <row r="283" spans="1:6" x14ac:dyDescent="0.25">
      <c r="A283" s="3" t="s">
        <v>257</v>
      </c>
      <c r="B283" s="10">
        <v>16333</v>
      </c>
      <c r="C283" s="23">
        <f t="shared" si="16"/>
        <v>7.0734105072604988E-3</v>
      </c>
      <c r="E283" s="13">
        <v>27.14</v>
      </c>
      <c r="F283" s="13">
        <f t="shared" si="17"/>
        <v>0.19197236116704994</v>
      </c>
    </row>
    <row r="284" spans="1:6" x14ac:dyDescent="0.25">
      <c r="A284" s="3" t="s">
        <v>258</v>
      </c>
      <c r="B284" s="10">
        <v>21685</v>
      </c>
      <c r="C284" s="23">
        <f t="shared" si="16"/>
        <v>9.3912267709510763E-3</v>
      </c>
      <c r="E284" s="13">
        <v>11.14</v>
      </c>
      <c r="F284" s="13">
        <f t="shared" si="17"/>
        <v>0.104618266228395</v>
      </c>
    </row>
    <row r="285" spans="1:6" x14ac:dyDescent="0.25">
      <c r="A285" s="3" t="s">
        <v>259</v>
      </c>
      <c r="B285" s="10">
        <v>11966</v>
      </c>
      <c r="C285" s="23">
        <f t="shared" si="16"/>
        <v>5.1821729094397315E-3</v>
      </c>
      <c r="E285" s="13">
        <v>33.5</v>
      </c>
      <c r="F285" s="13">
        <f t="shared" si="17"/>
        <v>0.173602792466231</v>
      </c>
    </row>
    <row r="286" spans="1:6" x14ac:dyDescent="0.25">
      <c r="A286" s="3" t="s">
        <v>260</v>
      </c>
      <c r="B286" s="10">
        <v>68890</v>
      </c>
      <c r="C286" s="23">
        <f t="shared" si="16"/>
        <v>2.9834522123625529E-2</v>
      </c>
      <c r="E286" s="13">
        <v>20.13</v>
      </c>
      <c r="F286" s="13">
        <f t="shared" si="17"/>
        <v>0.60056893034858183</v>
      </c>
    </row>
    <row r="287" spans="1:6" x14ac:dyDescent="0.25">
      <c r="A287" s="3" t="s">
        <v>261</v>
      </c>
      <c r="B287" s="10">
        <v>11869</v>
      </c>
      <c r="C287" s="23">
        <f t="shared" si="16"/>
        <v>5.1401646550342777E-3</v>
      </c>
      <c r="E287" s="13">
        <v>25.23</v>
      </c>
      <c r="F287" s="13">
        <f t="shared" si="17"/>
        <v>0.12968635424651484</v>
      </c>
    </row>
    <row r="288" spans="1:6" x14ac:dyDescent="0.25">
      <c r="A288" s="3" t="s">
        <v>262</v>
      </c>
      <c r="B288" s="10">
        <v>10957</v>
      </c>
      <c r="C288" s="23">
        <f t="shared" si="16"/>
        <v>4.7452004486654804E-3</v>
      </c>
      <c r="E288" s="13">
        <v>28.75</v>
      </c>
      <c r="F288" s="13">
        <f t="shared" si="17"/>
        <v>0.13642451289913257</v>
      </c>
    </row>
    <row r="289" spans="1:6" x14ac:dyDescent="0.25">
      <c r="A289" s="3" t="s">
        <v>263</v>
      </c>
      <c r="B289" s="10">
        <v>48607</v>
      </c>
      <c r="C289" s="23">
        <f t="shared" si="16"/>
        <v>2.1050466205008944E-2</v>
      </c>
      <c r="E289" s="13">
        <v>11.48</v>
      </c>
      <c r="F289" s="13">
        <f t="shared" si="17"/>
        <v>0.24165935203350269</v>
      </c>
    </row>
    <row r="290" spans="1:6" x14ac:dyDescent="0.25">
      <c r="A290" s="3" t="s">
        <v>264</v>
      </c>
      <c r="B290" s="10">
        <v>24647</v>
      </c>
      <c r="C290" s="23">
        <f t="shared" si="16"/>
        <v>1.0673994292074298E-2</v>
      </c>
      <c r="E290" s="13">
        <v>13.99</v>
      </c>
      <c r="F290" s="13">
        <f t="shared" si="17"/>
        <v>0.14932918014611943</v>
      </c>
    </row>
    <row r="291" spans="1:6" x14ac:dyDescent="0.25">
      <c r="A291" s="3" t="s">
        <v>265</v>
      </c>
      <c r="B291" s="10">
        <v>11966</v>
      </c>
      <c r="C291" s="23">
        <f t="shared" si="16"/>
        <v>5.1821729094397315E-3</v>
      </c>
      <c r="E291" s="13">
        <v>29.58</v>
      </c>
      <c r="F291" s="13">
        <f t="shared" si="17"/>
        <v>0.15328867466122725</v>
      </c>
    </row>
    <row r="292" spans="1:6" x14ac:dyDescent="0.25">
      <c r="A292" s="3" t="s">
        <v>266</v>
      </c>
      <c r="B292" s="10">
        <v>31045</v>
      </c>
      <c r="C292" s="23">
        <f t="shared" si="16"/>
        <v>1.3444806783683474E-2</v>
      </c>
      <c r="E292" s="13">
        <v>8.98</v>
      </c>
      <c r="F292" s="13">
        <f t="shared" si="17"/>
        <v>0.1207343649174776</v>
      </c>
    </row>
    <row r="293" spans="1:6" x14ac:dyDescent="0.25">
      <c r="A293" s="3" t="s">
        <v>267</v>
      </c>
      <c r="B293" s="10">
        <v>12967</v>
      </c>
      <c r="C293" s="23">
        <f t="shared" si="16"/>
        <v>5.6156807719125014E-3</v>
      </c>
      <c r="E293" s="13">
        <v>27.09</v>
      </c>
      <c r="F293" s="13">
        <f t="shared" si="17"/>
        <v>0.15212879211110966</v>
      </c>
    </row>
    <row r="294" spans="1:6" x14ac:dyDescent="0.25">
      <c r="A294" s="3" t="s">
        <v>268</v>
      </c>
      <c r="B294" s="10">
        <v>74323</v>
      </c>
      <c r="C294" s="23">
        <f t="shared" si="16"/>
        <v>3.2187417445118598E-2</v>
      </c>
      <c r="E294" s="13">
        <v>24.51</v>
      </c>
      <c r="F294" s="13">
        <f t="shared" si="17"/>
        <v>0.7889136015798569</v>
      </c>
    </row>
    <row r="295" spans="1:6" x14ac:dyDescent="0.25">
      <c r="A295" s="3" t="s">
        <v>269</v>
      </c>
      <c r="B295" s="10">
        <v>10695</v>
      </c>
      <c r="C295" s="23">
        <f t="shared" si="16"/>
        <v>4.631734854291988E-3</v>
      </c>
      <c r="E295" s="13">
        <v>21.37</v>
      </c>
      <c r="F295" s="13">
        <f t="shared" si="17"/>
        <v>9.8980173836219792E-2</v>
      </c>
    </row>
    <row r="296" spans="1:6" x14ac:dyDescent="0.25">
      <c r="A296" s="3" t="s">
        <v>270</v>
      </c>
      <c r="B296" s="10">
        <v>25511</v>
      </c>
      <c r="C296" s="23">
        <f t="shared" si="16"/>
        <v>1.1048170908634213E-2</v>
      </c>
      <c r="E296" s="13">
        <v>14.64</v>
      </c>
      <c r="F296" s="13">
        <f t="shared" si="17"/>
        <v>0.16174522210240488</v>
      </c>
    </row>
    <row r="297" spans="1:6" x14ac:dyDescent="0.25">
      <c r="A297" s="3" t="s">
        <v>271</v>
      </c>
      <c r="B297" s="10">
        <v>8920</v>
      </c>
      <c r="C297" s="23">
        <f t="shared" si="16"/>
        <v>3.8630271061509611E-3</v>
      </c>
      <c r="E297" s="13">
        <v>34.299999999999997</v>
      </c>
      <c r="F297" s="13">
        <f t="shared" si="17"/>
        <v>0.13250182974097796</v>
      </c>
    </row>
    <row r="298" spans="1:6" x14ac:dyDescent="0.25">
      <c r="A298" s="3" t="s">
        <v>272</v>
      </c>
      <c r="B298" s="10">
        <v>4537</v>
      </c>
      <c r="C298" s="23">
        <f t="shared" si="16"/>
        <v>1.9648603117272323E-3</v>
      </c>
      <c r="E298" s="13">
        <v>29.32</v>
      </c>
      <c r="F298" s="13">
        <f t="shared" si="17"/>
        <v>5.760970433984245E-2</v>
      </c>
    </row>
    <row r="299" spans="1:6" x14ac:dyDescent="0.25">
      <c r="A299" s="3" t="s">
        <v>273</v>
      </c>
      <c r="B299" s="10">
        <v>19736</v>
      </c>
      <c r="C299" s="23">
        <f t="shared" si="16"/>
        <v>8.5471640097528438E-3</v>
      </c>
      <c r="E299" s="13">
        <v>13.42</v>
      </c>
      <c r="F299" s="13">
        <f t="shared" si="17"/>
        <v>0.11470294101088316</v>
      </c>
    </row>
    <row r="300" spans="1:6" x14ac:dyDescent="0.25">
      <c r="A300" s="3" t="s">
        <v>274</v>
      </c>
      <c r="B300" s="10">
        <v>8101</v>
      </c>
      <c r="C300" s="23">
        <f t="shared" si="16"/>
        <v>3.5083388550368761E-3</v>
      </c>
      <c r="E300" s="13">
        <v>33.42</v>
      </c>
      <c r="F300" s="13">
        <f t="shared" si="17"/>
        <v>0.11724868453533241</v>
      </c>
    </row>
    <row r="301" spans="1:6" x14ac:dyDescent="0.25">
      <c r="A301" s="3" t="s">
        <v>275</v>
      </c>
      <c r="B301" s="10">
        <v>30025</v>
      </c>
      <c r="C301" s="23">
        <f t="shared" si="16"/>
        <v>1.3003070500244688E-2</v>
      </c>
      <c r="E301" s="13">
        <v>14.24</v>
      </c>
      <c r="F301" s="13">
        <f t="shared" si="17"/>
        <v>0.18516372392348435</v>
      </c>
    </row>
    <row r="302" spans="1:6" x14ac:dyDescent="0.25">
      <c r="A302" s="3" t="s">
        <v>276</v>
      </c>
      <c r="B302" s="10">
        <v>14509</v>
      </c>
      <c r="C302" s="23">
        <f t="shared" si="16"/>
        <v>6.2834820945229033E-3</v>
      </c>
      <c r="E302" s="13">
        <v>26.18</v>
      </c>
      <c r="F302" s="13">
        <f t="shared" si="17"/>
        <v>0.1645015612346096</v>
      </c>
    </row>
    <row r="303" spans="1:6" x14ac:dyDescent="0.25">
      <c r="A303" s="3" t="s">
        <v>277</v>
      </c>
      <c r="B303" s="10">
        <v>24878</v>
      </c>
      <c r="C303" s="23">
        <f t="shared" si="16"/>
        <v>1.0774034568029552E-2</v>
      </c>
      <c r="E303" s="13">
        <v>19.32</v>
      </c>
      <c r="F303" s="13">
        <f t="shared" si="17"/>
        <v>0.20815434785433096</v>
      </c>
    </row>
    <row r="304" spans="1:6" x14ac:dyDescent="0.25">
      <c r="A304" s="3" t="s">
        <v>278</v>
      </c>
      <c r="B304" s="10">
        <v>27741</v>
      </c>
      <c r="C304" s="23">
        <f t="shared" si="16"/>
        <v>1.2013927685171953E-2</v>
      </c>
      <c r="E304" s="13">
        <v>14.83</v>
      </c>
      <c r="F304" s="13">
        <f t="shared" si="17"/>
        <v>0.17816654757110006</v>
      </c>
    </row>
    <row r="305" spans="1:6" x14ac:dyDescent="0.25">
      <c r="A305" s="3" t="s">
        <v>279</v>
      </c>
      <c r="B305" s="10">
        <v>12671</v>
      </c>
      <c r="C305" s="23">
        <f t="shared" si="16"/>
        <v>5.4874906347577163E-3</v>
      </c>
      <c r="E305" s="13">
        <v>14.77</v>
      </c>
      <c r="F305" s="13">
        <f t="shared" si="17"/>
        <v>8.1050236675371465E-2</v>
      </c>
    </row>
    <row r="306" spans="1:6" x14ac:dyDescent="0.25">
      <c r="A306" s="20" t="s">
        <v>0</v>
      </c>
      <c r="B306" s="21">
        <f>SUM(B269:B305)</f>
        <v>2309070</v>
      </c>
      <c r="C306" s="22">
        <f t="shared" si="16"/>
        <v>1</v>
      </c>
      <c r="D306" s="18"/>
      <c r="E306" s="18"/>
      <c r="F306" s="19">
        <f>SUM(F269:F305)</f>
        <v>19.208702144153271</v>
      </c>
    </row>
    <row r="309" spans="1:6" x14ac:dyDescent="0.25">
      <c r="A309" s="9" t="s">
        <v>947</v>
      </c>
    </row>
    <row r="310" spans="1:6" x14ac:dyDescent="0.25">
      <c r="A310" s="3" t="s">
        <v>280</v>
      </c>
      <c r="B310" s="10">
        <v>12976</v>
      </c>
      <c r="C310" s="11">
        <f t="shared" ref="C310:C316" si="18">B310/B$316</f>
        <v>0.15736687000497229</v>
      </c>
      <c r="E310" s="13">
        <v>49.08</v>
      </c>
      <c r="F310" s="13">
        <f t="shared" ref="F310:F315" si="19">E310*C310</f>
        <v>7.7235659798440395</v>
      </c>
    </row>
    <row r="311" spans="1:6" x14ac:dyDescent="0.25">
      <c r="A311" s="3" t="s">
        <v>281</v>
      </c>
      <c r="B311" s="10">
        <v>6797</v>
      </c>
      <c r="C311" s="11">
        <f t="shared" si="18"/>
        <v>8.2430842742277799E-2</v>
      </c>
      <c r="E311" s="13">
        <v>49.4</v>
      </c>
      <c r="F311" s="13">
        <f t="shared" si="19"/>
        <v>4.0720836314685229</v>
      </c>
    </row>
    <row r="312" spans="1:6" x14ac:dyDescent="0.25">
      <c r="A312" s="3" t="s">
        <v>282</v>
      </c>
      <c r="B312" s="10">
        <v>22054</v>
      </c>
      <c r="C312" s="11">
        <f t="shared" si="18"/>
        <v>0.26746061583613279</v>
      </c>
      <c r="E312" s="13">
        <v>62.77</v>
      </c>
      <c r="F312" s="13">
        <f t="shared" si="19"/>
        <v>16.788502856034057</v>
      </c>
    </row>
    <row r="313" spans="1:6" x14ac:dyDescent="0.25">
      <c r="A313" s="3" t="s">
        <v>283</v>
      </c>
      <c r="B313" s="10">
        <v>7407</v>
      </c>
      <c r="C313" s="11">
        <f t="shared" si="18"/>
        <v>8.9828637956753221E-2</v>
      </c>
      <c r="E313" s="13">
        <v>56.53</v>
      </c>
      <c r="F313" s="13">
        <f t="shared" si="19"/>
        <v>5.0780129036952593</v>
      </c>
    </row>
    <row r="314" spans="1:6" x14ac:dyDescent="0.25">
      <c r="A314" s="3" t="s">
        <v>284</v>
      </c>
      <c r="B314" s="10">
        <v>9680</v>
      </c>
      <c r="C314" s="11">
        <f t="shared" si="18"/>
        <v>0.11739452078052803</v>
      </c>
      <c r="E314" s="13">
        <v>59.88</v>
      </c>
      <c r="F314" s="13">
        <f t="shared" si="19"/>
        <v>7.0295839043380193</v>
      </c>
    </row>
    <row r="315" spans="1:6" x14ac:dyDescent="0.25">
      <c r="A315" s="3" t="s">
        <v>285</v>
      </c>
      <c r="B315" s="10">
        <v>23543</v>
      </c>
      <c r="C315" s="11">
        <f t="shared" si="18"/>
        <v>0.28551851267933592</v>
      </c>
      <c r="E315" s="13">
        <v>14.72</v>
      </c>
      <c r="F315" s="13">
        <f t="shared" si="19"/>
        <v>4.2028325066398251</v>
      </c>
    </row>
    <row r="316" spans="1:6" x14ac:dyDescent="0.25">
      <c r="A316" s="20" t="s">
        <v>0</v>
      </c>
      <c r="B316" s="21">
        <f>SUM(B310:B315)</f>
        <v>82457</v>
      </c>
      <c r="C316" s="22">
        <f t="shared" si="18"/>
        <v>1</v>
      </c>
      <c r="D316" s="18"/>
      <c r="E316" s="18"/>
      <c r="F316" s="19">
        <f>SUM(F310:F315)</f>
        <v>44.894581782019721</v>
      </c>
    </row>
    <row r="317" spans="1:6" x14ac:dyDescent="0.25">
      <c r="A317" s="17"/>
      <c r="B317" s="10"/>
      <c r="C317" s="26"/>
      <c r="F317" s="27"/>
    </row>
    <row r="319" spans="1:6" x14ac:dyDescent="0.25">
      <c r="A319" s="9" t="s">
        <v>948</v>
      </c>
    </row>
    <row r="320" spans="1:6" x14ac:dyDescent="0.25">
      <c r="A320" s="3" t="s">
        <v>286</v>
      </c>
      <c r="B320" s="10">
        <v>4729</v>
      </c>
      <c r="C320" s="11">
        <f>B320/B$345</f>
        <v>2.1238087539184249E-2</v>
      </c>
      <c r="E320" s="13">
        <v>31.23</v>
      </c>
      <c r="F320" s="13">
        <f t="shared" ref="F320:F344" si="20">E320*C320</f>
        <v>0.66326547384872414</v>
      </c>
    </row>
    <row r="321" spans="1:6" x14ac:dyDescent="0.25">
      <c r="A321" s="3" t="s">
        <v>287</v>
      </c>
      <c r="B321" s="10">
        <v>17759</v>
      </c>
      <c r="C321" s="11">
        <f t="shared" ref="C321:C344" si="21">B321/B$345</f>
        <v>7.9756226815050346E-2</v>
      </c>
      <c r="E321" s="13">
        <v>9.5</v>
      </c>
      <c r="F321" s="13">
        <f t="shared" si="20"/>
        <v>0.75768415474297823</v>
      </c>
    </row>
    <row r="322" spans="1:6" x14ac:dyDescent="0.25">
      <c r="A322" s="3" t="s">
        <v>288</v>
      </c>
      <c r="B322" s="10">
        <v>1712</v>
      </c>
      <c r="C322" s="11">
        <f t="shared" si="21"/>
        <v>7.6886457743885464E-3</v>
      </c>
      <c r="E322" s="13">
        <v>56.39</v>
      </c>
      <c r="F322" s="13">
        <f t="shared" si="20"/>
        <v>0.43356273521777011</v>
      </c>
    </row>
    <row r="323" spans="1:6" x14ac:dyDescent="0.25">
      <c r="A323" s="3" t="s">
        <v>289</v>
      </c>
      <c r="B323" s="10">
        <v>3644</v>
      </c>
      <c r="C323" s="11">
        <f t="shared" si="21"/>
        <v>1.6365318459037301E-2</v>
      </c>
      <c r="E323" s="13">
        <v>44.91</v>
      </c>
      <c r="F323" s="13">
        <f t="shared" si="20"/>
        <v>0.73496645199536514</v>
      </c>
    </row>
    <row r="324" spans="1:6" x14ac:dyDescent="0.25">
      <c r="A324" s="3" t="s">
        <v>290</v>
      </c>
      <c r="B324" s="10">
        <v>2531</v>
      </c>
      <c r="C324" s="11">
        <f t="shared" si="21"/>
        <v>1.1366800499402693E-2</v>
      </c>
      <c r="E324" s="13">
        <v>2.69</v>
      </c>
      <c r="F324" s="13">
        <f t="shared" si="20"/>
        <v>3.0576693343393243E-2</v>
      </c>
    </row>
    <row r="325" spans="1:6" x14ac:dyDescent="0.25">
      <c r="A325" s="3" t="s">
        <v>291</v>
      </c>
      <c r="B325" s="10">
        <v>3738</v>
      </c>
      <c r="C325" s="11">
        <f t="shared" si="21"/>
        <v>1.6787475411603029E-2</v>
      </c>
      <c r="E325" s="13">
        <v>22.59</v>
      </c>
      <c r="F325" s="13">
        <f t="shared" si="20"/>
        <v>0.37922906954811242</v>
      </c>
    </row>
    <row r="326" spans="1:6" x14ac:dyDescent="0.25">
      <c r="A326" s="3" t="s">
        <v>292</v>
      </c>
      <c r="B326" s="10">
        <v>7764</v>
      </c>
      <c r="C326" s="11">
        <f t="shared" si="21"/>
        <v>3.4868367869364876E-2</v>
      </c>
      <c r="E326" s="13">
        <v>52.85</v>
      </c>
      <c r="F326" s="13">
        <f t="shared" si="20"/>
        <v>1.8427932418959339</v>
      </c>
    </row>
    <row r="327" spans="1:6" x14ac:dyDescent="0.25">
      <c r="A327" s="3" t="s">
        <v>293</v>
      </c>
      <c r="B327" s="10">
        <v>7013</v>
      </c>
      <c r="C327" s="11">
        <f t="shared" si="21"/>
        <v>3.1495603280249342E-2</v>
      </c>
      <c r="E327" s="13">
        <v>23.31</v>
      </c>
      <c r="F327" s="13">
        <f t="shared" si="20"/>
        <v>0.7341625124626121</v>
      </c>
    </row>
    <row r="328" spans="1:6" x14ac:dyDescent="0.25">
      <c r="A328" s="3" t="s">
        <v>294</v>
      </c>
      <c r="B328" s="10">
        <v>7237</v>
      </c>
      <c r="C328" s="11">
        <f t="shared" si="21"/>
        <v>3.2501594316150649E-2</v>
      </c>
      <c r="E328" s="13">
        <v>41.8</v>
      </c>
      <c r="F328" s="13">
        <f t="shared" si="20"/>
        <v>1.3585666424150971</v>
      </c>
    </row>
    <row r="329" spans="1:6" x14ac:dyDescent="0.25">
      <c r="A329" s="3" t="s">
        <v>295</v>
      </c>
      <c r="B329" s="10">
        <v>2887</v>
      </c>
      <c r="C329" s="11">
        <f t="shared" si="21"/>
        <v>1.2965607681460125E-2</v>
      </c>
      <c r="E329" s="13">
        <v>29.09</v>
      </c>
      <c r="F329" s="13">
        <f t="shared" si="20"/>
        <v>0.37716952745367505</v>
      </c>
    </row>
    <row r="330" spans="1:6" x14ac:dyDescent="0.25">
      <c r="A330" s="3" t="s">
        <v>296</v>
      </c>
      <c r="B330" s="10">
        <v>2915</v>
      </c>
      <c r="C330" s="11">
        <f t="shared" si="21"/>
        <v>1.3091356560947787E-2</v>
      </c>
      <c r="E330" s="13">
        <v>22.68</v>
      </c>
      <c r="F330" s="13">
        <f t="shared" si="20"/>
        <v>0.29691196680229581</v>
      </c>
    </row>
    <row r="331" spans="1:6" x14ac:dyDescent="0.25">
      <c r="A331" s="3" t="s">
        <v>297</v>
      </c>
      <c r="B331" s="10">
        <v>4745</v>
      </c>
      <c r="C331" s="11">
        <f t="shared" si="21"/>
        <v>2.130994404174863E-2</v>
      </c>
      <c r="E331" s="13">
        <v>36.01</v>
      </c>
      <c r="F331" s="13">
        <f t="shared" si="20"/>
        <v>0.76737108494336814</v>
      </c>
    </row>
    <row r="332" spans="1:6" x14ac:dyDescent="0.25">
      <c r="A332" s="3" t="s">
        <v>298</v>
      </c>
      <c r="B332" s="10">
        <v>64763</v>
      </c>
      <c r="C332" s="11">
        <f t="shared" si="21"/>
        <v>0.29085266722355457</v>
      </c>
      <c r="E332" s="13">
        <v>12.89</v>
      </c>
      <c r="F332" s="13">
        <f t="shared" si="20"/>
        <v>3.7490908805116185</v>
      </c>
    </row>
    <row r="333" spans="1:6" x14ac:dyDescent="0.25">
      <c r="A333" s="3" t="s">
        <v>299</v>
      </c>
      <c r="B333" s="10">
        <v>2436</v>
      </c>
      <c r="C333" s="11">
        <f t="shared" si="21"/>
        <v>1.0940152515426693E-2</v>
      </c>
      <c r="E333" s="13">
        <v>32.700000000000003</v>
      </c>
      <c r="F333" s="13">
        <f t="shared" si="20"/>
        <v>0.35774298725445286</v>
      </c>
    </row>
    <row r="334" spans="1:6" x14ac:dyDescent="0.25">
      <c r="A334" s="3" t="s">
        <v>300</v>
      </c>
      <c r="B334" s="10">
        <v>6451</v>
      </c>
      <c r="C334" s="11">
        <f t="shared" si="21"/>
        <v>2.8971643627675531E-2</v>
      </c>
      <c r="E334" s="13">
        <v>7.69</v>
      </c>
      <c r="F334" s="13">
        <f t="shared" si="20"/>
        <v>0.22279193949682485</v>
      </c>
    </row>
    <row r="335" spans="1:6" x14ac:dyDescent="0.25">
      <c r="A335" s="3" t="s">
        <v>301</v>
      </c>
      <c r="B335" s="10">
        <v>4027</v>
      </c>
      <c r="C335" s="11">
        <f t="shared" si="21"/>
        <v>1.8085383489172123E-2</v>
      </c>
      <c r="E335" s="13">
        <v>38.69</v>
      </c>
      <c r="F335" s="13">
        <f t="shared" si="20"/>
        <v>0.69972348719606936</v>
      </c>
    </row>
    <row r="336" spans="1:6" x14ac:dyDescent="0.25">
      <c r="A336" s="3" t="s">
        <v>302</v>
      </c>
      <c r="B336" s="10">
        <v>2664</v>
      </c>
      <c r="C336" s="11">
        <f t="shared" si="21"/>
        <v>1.1964107676969093E-2</v>
      </c>
      <c r="E336" s="13">
        <v>17.28</v>
      </c>
      <c r="F336" s="13">
        <f t="shared" si="20"/>
        <v>0.20673978065802595</v>
      </c>
    </row>
    <row r="337" spans="1:6" x14ac:dyDescent="0.25">
      <c r="A337" s="3" t="s">
        <v>303</v>
      </c>
      <c r="B337" s="10">
        <v>5700</v>
      </c>
      <c r="C337" s="11">
        <f t="shared" si="21"/>
        <v>2.5598879038559997E-2</v>
      </c>
      <c r="E337" s="13">
        <v>35.17</v>
      </c>
      <c r="F337" s="13">
        <f t="shared" si="20"/>
        <v>0.90031257578615509</v>
      </c>
    </row>
    <row r="338" spans="1:6" x14ac:dyDescent="0.25">
      <c r="A338" s="3" t="s">
        <v>304</v>
      </c>
      <c r="B338" s="10">
        <v>10357</v>
      </c>
      <c r="C338" s="11">
        <f t="shared" si="21"/>
        <v>4.6513612316204538E-2</v>
      </c>
      <c r="E338" s="13">
        <v>9.23</v>
      </c>
      <c r="F338" s="13">
        <f t="shared" si="20"/>
        <v>0.42932064167856793</v>
      </c>
    </row>
    <row r="339" spans="1:6" x14ac:dyDescent="0.25">
      <c r="A339" s="3" t="s">
        <v>305</v>
      </c>
      <c r="B339" s="10">
        <v>5157</v>
      </c>
      <c r="C339" s="11">
        <f t="shared" si="21"/>
        <v>2.3160248982781385E-2</v>
      </c>
      <c r="E339" s="13">
        <v>21.74</v>
      </c>
      <c r="F339" s="13">
        <f t="shared" si="20"/>
        <v>0.50350381288566726</v>
      </c>
    </row>
    <row r="340" spans="1:6" x14ac:dyDescent="0.25">
      <c r="A340" s="3" t="s">
        <v>306</v>
      </c>
      <c r="B340" s="10">
        <v>13349</v>
      </c>
      <c r="C340" s="11">
        <f t="shared" si="21"/>
        <v>5.9950778295743398E-2</v>
      </c>
      <c r="E340" s="13">
        <v>10.25</v>
      </c>
      <c r="F340" s="13">
        <f t="shared" si="20"/>
        <v>0.61449547753136979</v>
      </c>
    </row>
    <row r="341" spans="1:6" x14ac:dyDescent="0.25">
      <c r="A341" s="3" t="s">
        <v>307</v>
      </c>
      <c r="B341" s="10">
        <v>22316</v>
      </c>
      <c r="C341" s="11">
        <f t="shared" si="21"/>
        <v>0.10022185695166752</v>
      </c>
      <c r="E341" s="13">
        <v>8.59</v>
      </c>
      <c r="F341" s="13">
        <f t="shared" si="20"/>
        <v>0.86090575121482393</v>
      </c>
    </row>
    <row r="342" spans="1:6" x14ac:dyDescent="0.25">
      <c r="A342" s="3" t="s">
        <v>308</v>
      </c>
      <c r="B342" s="10">
        <v>4233</v>
      </c>
      <c r="C342" s="11">
        <f t="shared" si="21"/>
        <v>1.9010535959688501E-2</v>
      </c>
      <c r="E342" s="13">
        <v>30.84</v>
      </c>
      <c r="F342" s="13">
        <f t="shared" si="20"/>
        <v>0.58628492899679341</v>
      </c>
    </row>
    <row r="343" spans="1:6" x14ac:dyDescent="0.25">
      <c r="A343" s="3" t="s">
        <v>309</v>
      </c>
      <c r="B343" s="10">
        <v>9749</v>
      </c>
      <c r="C343" s="11">
        <f t="shared" si="21"/>
        <v>4.378306521875814E-2</v>
      </c>
      <c r="E343" s="13">
        <v>33.93</v>
      </c>
      <c r="F343" s="13">
        <f t="shared" si="20"/>
        <v>1.4855594028724637</v>
      </c>
    </row>
    <row r="344" spans="1:6" x14ac:dyDescent="0.25">
      <c r="A344" s="3" t="s">
        <v>310</v>
      </c>
      <c r="B344" s="10">
        <v>4790</v>
      </c>
      <c r="C344" s="11">
        <f t="shared" si="21"/>
        <v>2.1512040455210945E-2</v>
      </c>
      <c r="E344" s="13">
        <v>18.53</v>
      </c>
      <c r="F344" s="13">
        <f t="shared" si="20"/>
        <v>0.39861810963505884</v>
      </c>
    </row>
    <row r="345" spans="1:6" x14ac:dyDescent="0.25">
      <c r="A345" s="20" t="s">
        <v>0</v>
      </c>
      <c r="B345" s="21">
        <f>SUM(B320:B344)</f>
        <v>222666</v>
      </c>
      <c r="C345" s="22">
        <f>B345/B$345</f>
        <v>1</v>
      </c>
      <c r="D345" s="18"/>
      <c r="E345" s="18"/>
      <c r="F345" s="19">
        <f>SUM(F320:F344)</f>
        <v>19.391349330387214</v>
      </c>
    </row>
    <row r="348" spans="1:6" x14ac:dyDescent="0.25">
      <c r="A348" s="9" t="s">
        <v>949</v>
      </c>
    </row>
    <row r="349" spans="1:6" x14ac:dyDescent="0.25">
      <c r="A349" s="3" t="s">
        <v>311</v>
      </c>
      <c r="B349" s="10">
        <v>10365</v>
      </c>
      <c r="C349" s="11">
        <f t="shared" ref="C349:C363" si="22">B349/B$365</f>
        <v>2.9564617157461181E-2</v>
      </c>
      <c r="E349" s="13">
        <v>32.01</v>
      </c>
      <c r="F349" s="13">
        <f t="shared" ref="F349:F364" si="23">E349*C349</f>
        <v>0.9463633952103323</v>
      </c>
    </row>
    <row r="350" spans="1:6" x14ac:dyDescent="0.25">
      <c r="A350" s="3" t="s">
        <v>312</v>
      </c>
      <c r="B350" s="10">
        <v>54808</v>
      </c>
      <c r="C350" s="11">
        <f t="shared" si="22"/>
        <v>0.15633164854473056</v>
      </c>
      <c r="E350" s="13">
        <v>17.12</v>
      </c>
      <c r="F350" s="13">
        <f t="shared" si="23"/>
        <v>2.6763978230857872</v>
      </c>
    </row>
    <row r="351" spans="1:6" x14ac:dyDescent="0.25">
      <c r="A351" s="3" t="s">
        <v>313</v>
      </c>
      <c r="B351" s="10">
        <v>8611</v>
      </c>
      <c r="C351" s="11">
        <f t="shared" si="22"/>
        <v>2.4561593665499103E-2</v>
      </c>
      <c r="E351" s="13">
        <v>6.98</v>
      </c>
      <c r="F351" s="13">
        <f t="shared" si="23"/>
        <v>0.17143992378518375</v>
      </c>
    </row>
    <row r="352" spans="1:6" x14ac:dyDescent="0.25">
      <c r="A352" s="3" t="s">
        <v>314</v>
      </c>
      <c r="B352" s="10">
        <v>15407</v>
      </c>
      <c r="C352" s="11">
        <f t="shared" si="22"/>
        <v>4.3946170433671432E-2</v>
      </c>
      <c r="E352" s="13">
        <v>15.97</v>
      </c>
      <c r="F352" s="13">
        <f t="shared" si="23"/>
        <v>0.70182034182573283</v>
      </c>
    </row>
    <row r="353" spans="1:6" x14ac:dyDescent="0.25">
      <c r="A353" s="3" t="s">
        <v>315</v>
      </c>
      <c r="B353" s="10">
        <v>75089</v>
      </c>
      <c r="C353" s="11">
        <f t="shared" si="22"/>
        <v>0.21418017730213243</v>
      </c>
      <c r="E353" s="13">
        <v>12.78</v>
      </c>
      <c r="F353" s="13">
        <f t="shared" si="23"/>
        <v>2.7372226659212524</v>
      </c>
    </row>
    <row r="354" spans="1:6" x14ac:dyDescent="0.25">
      <c r="A354" s="3" t="s">
        <v>316</v>
      </c>
      <c r="B354" s="10">
        <v>7660</v>
      </c>
      <c r="C354" s="11">
        <f t="shared" si="22"/>
        <v>2.1849007952354331E-2</v>
      </c>
      <c r="E354" s="13">
        <v>21.52</v>
      </c>
      <c r="F354" s="13">
        <f t="shared" si="23"/>
        <v>0.47019065113466518</v>
      </c>
    </row>
    <row r="355" spans="1:6" x14ac:dyDescent="0.25">
      <c r="A355" s="3" t="s">
        <v>317</v>
      </c>
      <c r="B355" s="10">
        <v>11004</v>
      </c>
      <c r="C355" s="11">
        <f t="shared" si="22"/>
        <v>3.1387269387429119E-2</v>
      </c>
      <c r="E355" s="13">
        <v>29.52</v>
      </c>
      <c r="F355" s="13">
        <f t="shared" si="23"/>
        <v>0.92655219231690755</v>
      </c>
    </row>
    <row r="356" spans="1:6" x14ac:dyDescent="0.25">
      <c r="A356" s="3" t="s">
        <v>318</v>
      </c>
      <c r="B356" s="10">
        <v>17290</v>
      </c>
      <c r="C356" s="11">
        <f t="shared" si="22"/>
        <v>4.9317147192716237E-2</v>
      </c>
      <c r="E356" s="13">
        <v>9.9600000000000009</v>
      </c>
      <c r="F356" s="13">
        <f t="shared" si="23"/>
        <v>0.49119878603945377</v>
      </c>
    </row>
    <row r="357" spans="1:6" x14ac:dyDescent="0.25">
      <c r="A357" s="3" t="s">
        <v>319</v>
      </c>
      <c r="B357" s="10">
        <v>13401</v>
      </c>
      <c r="C357" s="11">
        <f t="shared" si="22"/>
        <v>3.8224354512989604E-2</v>
      </c>
      <c r="E357" s="13">
        <v>27.83</v>
      </c>
      <c r="F357" s="13">
        <f t="shared" si="23"/>
        <v>1.0637837860965007</v>
      </c>
    </row>
    <row r="358" spans="1:6" x14ac:dyDescent="0.25">
      <c r="A358" s="3" t="s">
        <v>320</v>
      </c>
      <c r="B358" s="10">
        <v>35423</v>
      </c>
      <c r="C358" s="11">
        <f t="shared" si="22"/>
        <v>0.1010388262005545</v>
      </c>
      <c r="E358" s="13">
        <v>7.54</v>
      </c>
      <c r="F358" s="13">
        <f t="shared" si="23"/>
        <v>0.76183274955218094</v>
      </c>
    </row>
    <row r="359" spans="1:6" x14ac:dyDescent="0.25">
      <c r="A359" s="3" t="s">
        <v>321</v>
      </c>
      <c r="B359" s="10">
        <v>40594</v>
      </c>
      <c r="C359" s="11">
        <f t="shared" si="22"/>
        <v>0.11578833274384748</v>
      </c>
      <c r="E359" s="13">
        <v>12.56</v>
      </c>
      <c r="F359" s="13">
        <f t="shared" si="23"/>
        <v>1.4543014592627244</v>
      </c>
    </row>
    <row r="360" spans="1:6" x14ac:dyDescent="0.25">
      <c r="A360" s="3" t="s">
        <v>322</v>
      </c>
      <c r="B360" s="10">
        <v>16614</v>
      </c>
      <c r="C360" s="11">
        <f t="shared" si="22"/>
        <v>4.7388957979166431E-2</v>
      </c>
      <c r="E360" s="13">
        <v>28.84</v>
      </c>
      <c r="F360" s="13">
        <f t="shared" si="23"/>
        <v>1.3666975481191599</v>
      </c>
    </row>
    <row r="361" spans="1:6" x14ac:dyDescent="0.25">
      <c r="A361" s="3" t="s">
        <v>323</v>
      </c>
      <c r="B361" s="10">
        <v>9364</v>
      </c>
      <c r="C361" s="11">
        <f t="shared" si="22"/>
        <v>2.6709413898935504E-2</v>
      </c>
      <c r="E361" s="13">
        <v>20.8</v>
      </c>
      <c r="F361" s="13">
        <f t="shared" si="23"/>
        <v>0.55555580909785851</v>
      </c>
    </row>
    <row r="362" spans="1:6" x14ac:dyDescent="0.25">
      <c r="A362" s="3" t="s">
        <v>324</v>
      </c>
      <c r="B362" s="10">
        <v>17238</v>
      </c>
      <c r="C362" s="11">
        <f t="shared" si="22"/>
        <v>4.91688249455201E-2</v>
      </c>
      <c r="E362" s="13">
        <v>33.99</v>
      </c>
      <c r="F362" s="13">
        <f t="shared" si="23"/>
        <v>1.6712483598982282</v>
      </c>
    </row>
    <row r="363" spans="1:6" x14ac:dyDescent="0.25">
      <c r="A363" s="3" t="s">
        <v>325</v>
      </c>
      <c r="B363" s="10">
        <v>8363</v>
      </c>
      <c r="C363" s="11">
        <f t="shared" si="22"/>
        <v>2.3854210640409827E-2</v>
      </c>
      <c r="E363" s="13">
        <v>22.15</v>
      </c>
      <c r="F363" s="13">
        <f t="shared" si="23"/>
        <v>0.52837076568507757</v>
      </c>
    </row>
    <row r="364" spans="1:6" x14ac:dyDescent="0.25">
      <c r="A364" s="3" t="s">
        <v>326</v>
      </c>
      <c r="B364" s="10">
        <v>9357</v>
      </c>
      <c r="C364" s="11">
        <f>B364/B$365</f>
        <v>2.6689447442582177E-2</v>
      </c>
      <c r="E364" s="13">
        <v>26.09</v>
      </c>
      <c r="F364" s="13">
        <f t="shared" si="23"/>
        <v>0.69632768377696896</v>
      </c>
    </row>
    <row r="365" spans="1:6" x14ac:dyDescent="0.25">
      <c r="A365" s="20" t="s">
        <v>0</v>
      </c>
      <c r="B365" s="21">
        <f>SUM(B349:B364)</f>
        <v>350588</v>
      </c>
      <c r="C365" s="22">
        <f>B365/B$365</f>
        <v>1</v>
      </c>
      <c r="D365" s="18"/>
      <c r="E365" s="18"/>
      <c r="F365" s="19">
        <f>SUM(F349:F364)</f>
        <v>17.219303940808015</v>
      </c>
    </row>
    <row r="368" spans="1:6" x14ac:dyDescent="0.25">
      <c r="A368" s="9" t="s">
        <v>950</v>
      </c>
    </row>
    <row r="369" spans="1:6" x14ac:dyDescent="0.25">
      <c r="A369" s="3" t="s">
        <v>327</v>
      </c>
      <c r="B369" s="10">
        <v>9951</v>
      </c>
      <c r="C369" s="11">
        <f t="shared" ref="C369:C381" si="24">B369/B$381</f>
        <v>0.10198099962081228</v>
      </c>
      <c r="E369" s="13">
        <v>19.75</v>
      </c>
      <c r="F369" s="13">
        <f t="shared" ref="F369:F380" si="25">E369*C369</f>
        <v>2.0141247425110427</v>
      </c>
    </row>
    <row r="370" spans="1:6" x14ac:dyDescent="0.25">
      <c r="A370" s="3" t="s">
        <v>328</v>
      </c>
      <c r="B370" s="10">
        <v>5013</v>
      </c>
      <c r="C370" s="11">
        <f t="shared" si="24"/>
        <v>5.1374811687180381E-2</v>
      </c>
      <c r="E370" s="13">
        <v>38.979999999999997</v>
      </c>
      <c r="F370" s="13">
        <f t="shared" si="25"/>
        <v>2.0025901595662909</v>
      </c>
    </row>
    <row r="371" spans="1:6" x14ac:dyDescent="0.25">
      <c r="A371" s="3" t="s">
        <v>329</v>
      </c>
      <c r="B371" s="10">
        <v>7577</v>
      </c>
      <c r="C371" s="11">
        <f t="shared" si="24"/>
        <v>7.7651495741824408E-2</v>
      </c>
      <c r="E371" s="13">
        <v>29.26</v>
      </c>
      <c r="F371" s="13">
        <f t="shared" si="25"/>
        <v>2.2720827654057825</v>
      </c>
    </row>
    <row r="372" spans="1:6" x14ac:dyDescent="0.25">
      <c r="A372" s="3" t="s">
        <v>330</v>
      </c>
      <c r="B372" s="10">
        <v>3493</v>
      </c>
      <c r="C372" s="11">
        <f t="shared" si="24"/>
        <v>3.5797370281931196E-2</v>
      </c>
      <c r="E372" s="13">
        <v>20.6</v>
      </c>
      <c r="F372" s="13">
        <f t="shared" si="25"/>
        <v>0.73742582780778265</v>
      </c>
    </row>
    <row r="373" spans="1:6" x14ac:dyDescent="0.25">
      <c r="A373" s="3" t="s">
        <v>331</v>
      </c>
      <c r="B373" s="10">
        <v>13977</v>
      </c>
      <c r="C373" s="11">
        <f t="shared" si="24"/>
        <v>0.14324072271129468</v>
      </c>
      <c r="E373" s="13">
        <v>6.49</v>
      </c>
      <c r="F373" s="13">
        <f t="shared" si="25"/>
        <v>0.92963229039630246</v>
      </c>
    </row>
    <row r="374" spans="1:6" x14ac:dyDescent="0.25">
      <c r="A374" s="3" t="s">
        <v>332</v>
      </c>
      <c r="B374" s="10">
        <v>3078</v>
      </c>
      <c r="C374" s="11">
        <f t="shared" si="24"/>
        <v>3.1544318845629603E-2</v>
      </c>
      <c r="E374" s="13">
        <v>33.020000000000003</v>
      </c>
      <c r="F374" s="13">
        <f t="shared" si="25"/>
        <v>1.0415934082826896</v>
      </c>
    </row>
    <row r="375" spans="1:6" x14ac:dyDescent="0.25">
      <c r="A375" s="3" t="s">
        <v>333</v>
      </c>
      <c r="B375" s="10">
        <v>10319</v>
      </c>
      <c r="C375" s="11">
        <f t="shared" si="24"/>
        <v>0.10575238017155682</v>
      </c>
      <c r="E375" s="13">
        <v>24.75</v>
      </c>
      <c r="F375" s="13">
        <f t="shared" si="25"/>
        <v>2.6173714092460312</v>
      </c>
    </row>
    <row r="376" spans="1:6" x14ac:dyDescent="0.25">
      <c r="A376" s="3" t="s">
        <v>334</v>
      </c>
      <c r="B376" s="10">
        <v>6800</v>
      </c>
      <c r="C376" s="11">
        <f t="shared" si="24"/>
        <v>6.9688553655062158E-2</v>
      </c>
      <c r="E376" s="13">
        <v>21.83</v>
      </c>
      <c r="F376" s="13">
        <f t="shared" si="25"/>
        <v>1.5213011262900067</v>
      </c>
    </row>
    <row r="377" spans="1:6" x14ac:dyDescent="0.25">
      <c r="A377" s="3" t="s">
        <v>335</v>
      </c>
      <c r="B377" s="10">
        <v>16097</v>
      </c>
      <c r="C377" s="11">
        <f t="shared" si="24"/>
        <v>0.16496715414493168</v>
      </c>
      <c r="E377" s="13">
        <v>8.16</v>
      </c>
      <c r="F377" s="13">
        <f t="shared" si="25"/>
        <v>1.3461319778226426</v>
      </c>
    </row>
    <row r="378" spans="1:6" x14ac:dyDescent="0.25">
      <c r="A378" s="3" t="s">
        <v>336</v>
      </c>
      <c r="B378" s="10">
        <v>2475</v>
      </c>
      <c r="C378" s="11">
        <f t="shared" si="24"/>
        <v>2.5364583867099829E-2</v>
      </c>
      <c r="E378" s="13">
        <v>17.46</v>
      </c>
      <c r="F378" s="13">
        <f t="shared" si="25"/>
        <v>0.44286563431956305</v>
      </c>
    </row>
    <row r="379" spans="1:6" x14ac:dyDescent="0.25">
      <c r="A379" s="3" t="s">
        <v>337</v>
      </c>
      <c r="B379" s="10">
        <v>8517</v>
      </c>
      <c r="C379" s="11">
        <f t="shared" si="24"/>
        <v>8.7284913452965351E-2</v>
      </c>
      <c r="E379" s="13">
        <v>39.46</v>
      </c>
      <c r="F379" s="13">
        <f t="shared" si="25"/>
        <v>3.4442626848540128</v>
      </c>
    </row>
    <row r="380" spans="1:6" x14ac:dyDescent="0.25">
      <c r="A380" s="3" t="s">
        <v>338</v>
      </c>
      <c r="B380" s="10">
        <v>10280</v>
      </c>
      <c r="C380" s="11">
        <f t="shared" si="24"/>
        <v>0.10535269581971161</v>
      </c>
      <c r="E380" s="13">
        <v>26.06</v>
      </c>
      <c r="F380" s="13">
        <f t="shared" si="25"/>
        <v>2.7454912530616844</v>
      </c>
    </row>
    <row r="381" spans="1:6" x14ac:dyDescent="0.25">
      <c r="A381" s="20" t="s">
        <v>0</v>
      </c>
      <c r="B381" s="21">
        <f>SUM(B369:B380)</f>
        <v>97577</v>
      </c>
      <c r="C381" s="22">
        <f t="shared" si="24"/>
        <v>1</v>
      </c>
      <c r="D381" s="18"/>
      <c r="E381" s="18"/>
      <c r="F381" s="19">
        <f>SUM(F369:F380)</f>
        <v>21.114873279563831</v>
      </c>
    </row>
    <row r="384" spans="1:6" x14ac:dyDescent="0.25">
      <c r="A384" s="9" t="s">
        <v>951</v>
      </c>
    </row>
    <row r="385" spans="1:6" x14ac:dyDescent="0.25">
      <c r="A385" s="3" t="s">
        <v>339</v>
      </c>
      <c r="B385" s="10">
        <v>1892122</v>
      </c>
      <c r="C385" s="23">
        <f t="shared" ref="C385:C440" si="26">B385/B$493</f>
        <v>0.50478608801066283</v>
      </c>
      <c r="E385" s="13">
        <v>32.01</v>
      </c>
      <c r="F385" s="13">
        <f t="shared" ref="F385:F449" si="27">E385*C385</f>
        <v>16.158202677221315</v>
      </c>
    </row>
    <row r="386" spans="1:6" x14ac:dyDescent="0.25">
      <c r="A386" s="3" t="s">
        <v>340</v>
      </c>
      <c r="B386" s="10">
        <v>10885</v>
      </c>
      <c r="C386" s="23">
        <f t="shared" si="26"/>
        <v>2.9039335560793987E-3</v>
      </c>
      <c r="E386" s="13">
        <v>33.590000000000003</v>
      </c>
      <c r="F386" s="13">
        <f t="shared" si="27"/>
        <v>9.7543128148707012E-2</v>
      </c>
    </row>
    <row r="387" spans="1:6" x14ac:dyDescent="0.25">
      <c r="A387" s="3" t="s">
        <v>341</v>
      </c>
      <c r="B387" s="10">
        <v>32258</v>
      </c>
      <c r="C387" s="23">
        <f t="shared" si="26"/>
        <v>8.6058877953155023E-3</v>
      </c>
      <c r="E387" s="13">
        <v>10.18</v>
      </c>
      <c r="F387" s="13">
        <f t="shared" si="27"/>
        <v>8.7607937756311816E-2</v>
      </c>
    </row>
    <row r="388" spans="1:6" x14ac:dyDescent="0.25">
      <c r="A388" s="3" t="s">
        <v>342</v>
      </c>
      <c r="B388" s="10">
        <v>4369</v>
      </c>
      <c r="C388" s="23">
        <f t="shared" si="26"/>
        <v>1.1655751682600728E-3</v>
      </c>
      <c r="E388" s="13">
        <v>26.63</v>
      </c>
      <c r="F388" s="13">
        <f t="shared" si="27"/>
        <v>3.1039266730765739E-2</v>
      </c>
    </row>
    <row r="389" spans="1:6" x14ac:dyDescent="0.25">
      <c r="A389" s="3" t="s">
        <v>343</v>
      </c>
      <c r="B389" s="10">
        <v>8840</v>
      </c>
      <c r="C389" s="23">
        <f t="shared" si="26"/>
        <v>2.3583622081526767E-3</v>
      </c>
      <c r="E389" s="13">
        <v>15.2</v>
      </c>
      <c r="F389" s="13">
        <f t="shared" si="27"/>
        <v>3.5847105563920685E-2</v>
      </c>
    </row>
    <row r="390" spans="1:6" x14ac:dyDescent="0.25">
      <c r="A390" s="3" t="s">
        <v>344</v>
      </c>
      <c r="B390" s="10">
        <v>15998</v>
      </c>
      <c r="C390" s="23">
        <f t="shared" si="26"/>
        <v>4.2679953174238148E-3</v>
      </c>
      <c r="E390" s="13">
        <v>23.76</v>
      </c>
      <c r="F390" s="13">
        <f t="shared" si="27"/>
        <v>0.10140756874198985</v>
      </c>
    </row>
    <row r="391" spans="1:6" x14ac:dyDescent="0.25">
      <c r="A391" s="3" t="s">
        <v>345</v>
      </c>
      <c r="B391" s="10">
        <v>10381</v>
      </c>
      <c r="C391" s="23">
        <f t="shared" si="26"/>
        <v>2.7694748962480698E-3</v>
      </c>
      <c r="E391" s="13">
        <v>22.04</v>
      </c>
      <c r="F391" s="13">
        <f t="shared" si="27"/>
        <v>6.1039226713307457E-2</v>
      </c>
    </row>
    <row r="392" spans="1:6" x14ac:dyDescent="0.25">
      <c r="A392" s="3" t="s">
        <v>346</v>
      </c>
      <c r="B392" s="10">
        <v>9303</v>
      </c>
      <c r="C392" s="23">
        <f t="shared" si="26"/>
        <v>2.4818827627199492E-3</v>
      </c>
      <c r="E392" s="13">
        <v>21.51</v>
      </c>
      <c r="F392" s="13">
        <f t="shared" si="27"/>
        <v>5.3385298226106111E-2</v>
      </c>
    </row>
    <row r="393" spans="1:6" x14ac:dyDescent="0.25">
      <c r="A393" s="3" t="s">
        <v>347</v>
      </c>
      <c r="B393" s="10">
        <v>10887</v>
      </c>
      <c r="C393" s="23">
        <f t="shared" si="26"/>
        <v>2.9044671221898407E-3</v>
      </c>
      <c r="E393" s="13">
        <v>38.92</v>
      </c>
      <c r="F393" s="13">
        <f t="shared" si="27"/>
        <v>0.11304186039562861</v>
      </c>
    </row>
    <row r="394" spans="1:6" x14ac:dyDescent="0.25">
      <c r="A394" s="3" t="s">
        <v>348</v>
      </c>
      <c r="B394" s="10">
        <v>6527</v>
      </c>
      <c r="C394" s="23">
        <f t="shared" si="26"/>
        <v>1.7412930014267557E-3</v>
      </c>
      <c r="E394" s="13">
        <v>46.37</v>
      </c>
      <c r="F394" s="13">
        <f t="shared" si="27"/>
        <v>8.0743756476158654E-2</v>
      </c>
    </row>
    <row r="395" spans="1:6" x14ac:dyDescent="0.25">
      <c r="A395" s="3" t="s">
        <v>349</v>
      </c>
      <c r="B395" s="10">
        <v>22971</v>
      </c>
      <c r="C395" s="23">
        <f t="shared" si="26"/>
        <v>6.1282735614790881E-3</v>
      </c>
      <c r="E395" s="13">
        <v>32.049999999999997</v>
      </c>
      <c r="F395" s="13">
        <f t="shared" si="27"/>
        <v>0.19641116764540476</v>
      </c>
    </row>
    <row r="396" spans="1:6" x14ac:dyDescent="0.25">
      <c r="A396" s="3" t="s">
        <v>350</v>
      </c>
      <c r="B396" s="10">
        <v>10630</v>
      </c>
      <c r="C396" s="23">
        <f t="shared" si="26"/>
        <v>2.8359038769980717E-3</v>
      </c>
      <c r="E396" s="13">
        <v>27.6</v>
      </c>
      <c r="F396" s="13">
        <f t="shared" si="27"/>
        <v>7.8270947005146779E-2</v>
      </c>
    </row>
    <row r="397" spans="1:6" x14ac:dyDescent="0.25">
      <c r="A397" s="3" t="s">
        <v>351</v>
      </c>
      <c r="B397" s="10">
        <v>4593</v>
      </c>
      <c r="C397" s="23">
        <f t="shared" si="26"/>
        <v>1.2253345726295525E-3</v>
      </c>
      <c r="E397" s="13">
        <v>26.64</v>
      </c>
      <c r="F397" s="13">
        <f t="shared" si="27"/>
        <v>3.2642913014851282E-2</v>
      </c>
    </row>
    <row r="398" spans="1:6" x14ac:dyDescent="0.25">
      <c r="A398" s="3" t="s">
        <v>352</v>
      </c>
      <c r="B398" s="10">
        <v>50772</v>
      </c>
      <c r="C398" s="23">
        <f t="shared" si="26"/>
        <v>1.354510927967508E-2</v>
      </c>
      <c r="E398" s="13">
        <v>8.56</v>
      </c>
      <c r="F398" s="13">
        <f t="shared" si="27"/>
        <v>0.11594613543401869</v>
      </c>
    </row>
    <row r="399" spans="1:6" x14ac:dyDescent="0.25">
      <c r="A399" s="3" t="s">
        <v>353</v>
      </c>
      <c r="B399" s="10">
        <v>17978</v>
      </c>
      <c r="C399" s="23">
        <f t="shared" si="26"/>
        <v>4.7962257667611792E-3</v>
      </c>
      <c r="E399" s="13">
        <v>24.38</v>
      </c>
      <c r="F399" s="13">
        <f t="shared" si="27"/>
        <v>0.11693198419363754</v>
      </c>
    </row>
    <row r="400" spans="1:6" x14ac:dyDescent="0.25">
      <c r="A400" s="3" t="s">
        <v>354</v>
      </c>
      <c r="B400" s="10">
        <v>3823</v>
      </c>
      <c r="C400" s="23">
        <f t="shared" si="26"/>
        <v>1.0199116201094665E-3</v>
      </c>
      <c r="E400" s="13">
        <v>30.88</v>
      </c>
      <c r="F400" s="13">
        <f t="shared" si="27"/>
        <v>3.1494870828980323E-2</v>
      </c>
    </row>
    <row r="401" spans="1:6" s="28" customFormat="1" x14ac:dyDescent="0.25">
      <c r="A401" s="28" t="s">
        <v>355</v>
      </c>
      <c r="B401" s="29"/>
      <c r="C401" s="30">
        <f t="shared" si="26"/>
        <v>0</v>
      </c>
      <c r="E401" s="32"/>
      <c r="F401" s="13">
        <f t="shared" si="27"/>
        <v>0</v>
      </c>
    </row>
    <row r="402" spans="1:6" x14ac:dyDescent="0.25">
      <c r="A402" s="3" t="s">
        <v>356</v>
      </c>
      <c r="B402" s="10">
        <v>44279</v>
      </c>
      <c r="C402" s="23">
        <f t="shared" si="26"/>
        <v>1.1812886902125834E-2</v>
      </c>
      <c r="E402" s="13">
        <v>11.48</v>
      </c>
      <c r="F402" s="13">
        <f t="shared" si="27"/>
        <v>0.13561194163640458</v>
      </c>
    </row>
    <row r="403" spans="1:6" x14ac:dyDescent="0.25">
      <c r="A403" s="3" t="s">
        <v>357</v>
      </c>
      <c r="B403" s="10">
        <v>22165</v>
      </c>
      <c r="C403" s="23">
        <f t="shared" si="26"/>
        <v>5.9132464189710502E-3</v>
      </c>
      <c r="E403" s="13">
        <v>26.08</v>
      </c>
      <c r="F403" s="13">
        <f t="shared" si="27"/>
        <v>0.15421746660676497</v>
      </c>
    </row>
    <row r="404" spans="1:6" x14ac:dyDescent="0.25">
      <c r="A404" s="3" t="s">
        <v>358</v>
      </c>
      <c r="B404" s="10">
        <v>14725</v>
      </c>
      <c r="C404" s="23">
        <f t="shared" si="26"/>
        <v>3.9283804881276203E-3</v>
      </c>
      <c r="E404" s="13">
        <v>20.45</v>
      </c>
      <c r="F404" s="13">
        <f t="shared" si="27"/>
        <v>8.0335380982209839E-2</v>
      </c>
    </row>
    <row r="405" spans="1:6" x14ac:dyDescent="0.25">
      <c r="A405" s="3" t="s">
        <v>359</v>
      </c>
      <c r="B405" s="10">
        <v>19707</v>
      </c>
      <c r="C405" s="23">
        <f t="shared" si="26"/>
        <v>5.2574936692380992E-3</v>
      </c>
      <c r="E405" s="13">
        <v>31.62</v>
      </c>
      <c r="F405" s="13">
        <f t="shared" si="27"/>
        <v>0.16624194982130872</v>
      </c>
    </row>
    <row r="406" spans="1:6" x14ac:dyDescent="0.25">
      <c r="A406" s="3" t="s">
        <v>360</v>
      </c>
      <c r="B406" s="10">
        <v>14350</v>
      </c>
      <c r="C406" s="23">
        <f t="shared" si="26"/>
        <v>3.8283368424197862E-3</v>
      </c>
      <c r="E406" s="13">
        <v>24</v>
      </c>
      <c r="F406" s="13">
        <f t="shared" si="27"/>
        <v>9.1880084218074864E-2</v>
      </c>
    </row>
    <row r="407" spans="1:6" x14ac:dyDescent="0.25">
      <c r="A407" s="3" t="s">
        <v>361</v>
      </c>
      <c r="B407" s="10">
        <v>18618</v>
      </c>
      <c r="C407" s="23">
        <f t="shared" si="26"/>
        <v>4.9669669221025494E-3</v>
      </c>
      <c r="E407" s="13">
        <v>26.37</v>
      </c>
      <c r="F407" s="13">
        <f t="shared" si="27"/>
        <v>0.13097891773584425</v>
      </c>
    </row>
    <row r="408" spans="1:6" x14ac:dyDescent="0.25">
      <c r="A408" s="3" t="s">
        <v>362</v>
      </c>
      <c r="B408" s="10">
        <v>34538</v>
      </c>
      <c r="C408" s="23">
        <f t="shared" si="26"/>
        <v>9.2141531612191345E-3</v>
      </c>
      <c r="E408" s="13">
        <v>11.55</v>
      </c>
      <c r="F408" s="13">
        <f t="shared" si="27"/>
        <v>0.10642346901208101</v>
      </c>
    </row>
    <row r="409" spans="1:6" x14ac:dyDescent="0.25">
      <c r="A409" s="3" t="s">
        <v>363</v>
      </c>
      <c r="B409" s="10">
        <v>13552</v>
      </c>
      <c r="C409" s="23">
        <f t="shared" si="26"/>
        <v>3.6154439643535153E-3</v>
      </c>
      <c r="E409" s="13">
        <v>18.64</v>
      </c>
      <c r="F409" s="13">
        <f t="shared" si="27"/>
        <v>6.7391875495549522E-2</v>
      </c>
    </row>
    <row r="410" spans="1:6" x14ac:dyDescent="0.25">
      <c r="A410" s="3" t="s">
        <v>364</v>
      </c>
      <c r="B410" s="10">
        <v>4089</v>
      </c>
      <c r="C410" s="23">
        <f t="shared" si="26"/>
        <v>1.0908759127982233E-3</v>
      </c>
      <c r="E410" s="13">
        <v>38.28</v>
      </c>
      <c r="F410" s="13">
        <f t="shared" si="27"/>
        <v>4.1758729941915991E-2</v>
      </c>
    </row>
    <row r="411" spans="1:6" x14ac:dyDescent="0.25">
      <c r="A411" s="3" t="s">
        <v>365</v>
      </c>
      <c r="B411" s="10">
        <v>9089</v>
      </c>
      <c r="C411" s="23">
        <f t="shared" si="26"/>
        <v>2.4247911889026786E-3</v>
      </c>
      <c r="E411" s="13">
        <v>37.28</v>
      </c>
      <c r="F411" s="13">
        <f t="shared" si="27"/>
        <v>9.0396215522291865E-2</v>
      </c>
    </row>
    <row r="412" spans="1:6" x14ac:dyDescent="0.25">
      <c r="A412" s="3" t="s">
        <v>366</v>
      </c>
      <c r="B412" s="10">
        <v>13796</v>
      </c>
      <c r="C412" s="23">
        <f t="shared" si="26"/>
        <v>3.6805390298274127E-3</v>
      </c>
      <c r="E412" s="13">
        <v>19.420000000000002</v>
      </c>
      <c r="F412" s="13">
        <f t="shared" si="27"/>
        <v>7.1476067959248366E-2</v>
      </c>
    </row>
    <row r="413" spans="1:6" x14ac:dyDescent="0.25">
      <c r="A413" s="3" t="s">
        <v>367</v>
      </c>
      <c r="B413" s="10">
        <v>24173</v>
      </c>
      <c r="C413" s="23">
        <f t="shared" si="26"/>
        <v>6.4489467938545989E-3</v>
      </c>
      <c r="E413" s="13">
        <v>21.81</v>
      </c>
      <c r="F413" s="13">
        <f t="shared" si="27"/>
        <v>0.14065152957396879</v>
      </c>
    </row>
    <row r="414" spans="1:6" x14ac:dyDescent="0.25">
      <c r="A414" s="3" t="s">
        <v>368</v>
      </c>
      <c r="B414" s="10">
        <v>15331</v>
      </c>
      <c r="C414" s="23">
        <f t="shared" si="26"/>
        <v>4.0900510195914803E-3</v>
      </c>
      <c r="E414" s="13">
        <v>33.18</v>
      </c>
      <c r="F414" s="13">
        <f t="shared" si="27"/>
        <v>0.13570789283004531</v>
      </c>
    </row>
    <row r="415" spans="1:6" x14ac:dyDescent="0.25">
      <c r="A415" s="3" t="s">
        <v>369</v>
      </c>
      <c r="B415" s="10">
        <v>18221</v>
      </c>
      <c r="C415" s="23">
        <f t="shared" si="26"/>
        <v>4.8610540491798556E-3</v>
      </c>
      <c r="E415" s="13">
        <v>9.5</v>
      </c>
      <c r="F415" s="13">
        <f t="shared" si="27"/>
        <v>4.6180013467208625E-2</v>
      </c>
    </row>
    <row r="416" spans="1:6" x14ac:dyDescent="0.25">
      <c r="A416" s="3" t="s">
        <v>370</v>
      </c>
      <c r="B416" s="10">
        <v>6296</v>
      </c>
      <c r="C416" s="23">
        <f t="shared" si="26"/>
        <v>1.67966611567073E-3</v>
      </c>
      <c r="E416" s="13">
        <v>30</v>
      </c>
      <c r="F416" s="13">
        <f t="shared" si="27"/>
        <v>5.0389983470121899E-2</v>
      </c>
    </row>
    <row r="417" spans="1:6" x14ac:dyDescent="0.25">
      <c r="A417" s="3" t="s">
        <v>371</v>
      </c>
      <c r="B417" s="10">
        <v>28323</v>
      </c>
      <c r="C417" s="23">
        <f t="shared" si="26"/>
        <v>7.5560964730212966E-3</v>
      </c>
      <c r="E417" s="13">
        <v>23.29</v>
      </c>
      <c r="F417" s="13">
        <f t="shared" si="27"/>
        <v>0.17598148685666598</v>
      </c>
    </row>
    <row r="418" spans="1:6" x14ac:dyDescent="0.25">
      <c r="A418" s="3" t="s">
        <v>372</v>
      </c>
      <c r="B418" s="10">
        <v>23538</v>
      </c>
      <c r="C418" s="23">
        <f t="shared" si="26"/>
        <v>6.2795395537893327E-3</v>
      </c>
      <c r="E418" s="13">
        <v>10.58</v>
      </c>
      <c r="F418" s="13">
        <f t="shared" si="27"/>
        <v>6.6437528479091137E-2</v>
      </c>
    </row>
    <row r="419" spans="1:6" x14ac:dyDescent="0.25">
      <c r="A419" s="3" t="s">
        <v>373</v>
      </c>
      <c r="B419" s="10">
        <v>81880</v>
      </c>
      <c r="C419" s="23">
        <f t="shared" si="26"/>
        <v>2.1844196561486558E-2</v>
      </c>
      <c r="E419" s="13">
        <v>13.83</v>
      </c>
      <c r="F419" s="13">
        <f t="shared" si="27"/>
        <v>0.30210523844535908</v>
      </c>
    </row>
    <row r="420" spans="1:6" x14ac:dyDescent="0.25">
      <c r="A420" s="3" t="s">
        <v>374</v>
      </c>
      <c r="B420" s="10">
        <v>9998</v>
      </c>
      <c r="C420" s="23">
        <f t="shared" si="26"/>
        <v>2.6672969860984685E-3</v>
      </c>
      <c r="E420" s="13">
        <v>6.5</v>
      </c>
      <c r="F420" s="13">
        <f t="shared" si="27"/>
        <v>1.7337430409640045E-2</v>
      </c>
    </row>
    <row r="421" spans="1:6" x14ac:dyDescent="0.25">
      <c r="A421" s="3" t="s">
        <v>375</v>
      </c>
      <c r="B421" s="10">
        <v>11220</v>
      </c>
      <c r="C421" s="23">
        <f t="shared" si="26"/>
        <v>2.9933058795783975E-3</v>
      </c>
      <c r="E421" s="13">
        <v>48.76</v>
      </c>
      <c r="F421" s="13">
        <f t="shared" si="27"/>
        <v>0.14595359468824265</v>
      </c>
    </row>
    <row r="422" spans="1:6" x14ac:dyDescent="0.25">
      <c r="A422" s="3" t="s">
        <v>376</v>
      </c>
      <c r="B422" s="10">
        <v>11179</v>
      </c>
      <c r="C422" s="23">
        <f t="shared" si="26"/>
        <v>2.982367774314341E-3</v>
      </c>
      <c r="E422" s="13">
        <v>32.22</v>
      </c>
      <c r="F422" s="13">
        <f t="shared" si="27"/>
        <v>9.6091889688408066E-2</v>
      </c>
    </row>
    <row r="423" spans="1:6" x14ac:dyDescent="0.25">
      <c r="A423" s="3" t="s">
        <v>377</v>
      </c>
      <c r="B423" s="10">
        <f>13073+B439</f>
        <v>19598</v>
      </c>
      <c r="C423" s="23">
        <f t="shared" si="26"/>
        <v>5.2284143162190221E-3</v>
      </c>
      <c r="E423" s="13">
        <v>35.299999999999997</v>
      </c>
      <c r="F423" s="13">
        <f t="shared" si="27"/>
        <v>0.18456302536253147</v>
      </c>
    </row>
    <row r="424" spans="1:6" x14ac:dyDescent="0.25">
      <c r="A424" s="3" t="s">
        <v>378</v>
      </c>
      <c r="B424" s="10">
        <v>11463</v>
      </c>
      <c r="C424" s="23">
        <f t="shared" si="26"/>
        <v>3.0581341619970739E-3</v>
      </c>
      <c r="E424" s="13">
        <v>22.01</v>
      </c>
      <c r="F424" s="13">
        <f t="shared" si="27"/>
        <v>6.7309532905555594E-2</v>
      </c>
    </row>
    <row r="425" spans="1:6" x14ac:dyDescent="0.25">
      <c r="A425" s="3" t="s">
        <v>379</v>
      </c>
      <c r="B425" s="10">
        <v>10848</v>
      </c>
      <c r="C425" s="23">
        <f t="shared" si="26"/>
        <v>2.8940625830362258E-3</v>
      </c>
      <c r="E425" s="13">
        <v>23.44</v>
      </c>
      <c r="F425" s="13">
        <f t="shared" si="27"/>
        <v>6.7836826946369139E-2</v>
      </c>
    </row>
    <row r="426" spans="1:6" x14ac:dyDescent="0.25">
      <c r="A426" s="3" t="s">
        <v>380</v>
      </c>
      <c r="B426" s="10">
        <v>8985</v>
      </c>
      <c r="C426" s="23">
        <f t="shared" si="26"/>
        <v>2.397045751159706E-3</v>
      </c>
      <c r="E426" s="13">
        <v>23.04</v>
      </c>
      <c r="F426" s="13">
        <f t="shared" si="27"/>
        <v>5.5227934106719626E-2</v>
      </c>
    </row>
    <row r="427" spans="1:6" x14ac:dyDescent="0.25">
      <c r="A427" s="3" t="s">
        <v>381</v>
      </c>
      <c r="B427" s="10">
        <v>14223</v>
      </c>
      <c r="C427" s="23">
        <f t="shared" si="26"/>
        <v>3.7944553944067334E-3</v>
      </c>
      <c r="E427" s="13">
        <v>20.04</v>
      </c>
      <c r="F427" s="13">
        <f t="shared" si="27"/>
        <v>7.6040886103910937E-2</v>
      </c>
    </row>
    <row r="428" spans="1:6" x14ac:dyDescent="0.25">
      <c r="A428" s="3" t="s">
        <v>382</v>
      </c>
      <c r="B428" s="10">
        <v>20410</v>
      </c>
      <c r="C428" s="23">
        <f t="shared" si="26"/>
        <v>5.445042157058386E-3</v>
      </c>
      <c r="E428" s="13">
        <v>27.05</v>
      </c>
      <c r="F428" s="13">
        <f t="shared" si="27"/>
        <v>0.14728839034842933</v>
      </c>
    </row>
    <row r="429" spans="1:6" x14ac:dyDescent="0.25">
      <c r="A429" s="3" t="s">
        <v>383</v>
      </c>
      <c r="B429" s="10">
        <v>34509</v>
      </c>
      <c r="C429" s="23">
        <f t="shared" si="26"/>
        <v>9.2064164526177283E-3</v>
      </c>
      <c r="E429" s="13">
        <v>11.11</v>
      </c>
      <c r="F429" s="13">
        <f t="shared" si="27"/>
        <v>0.10228328678858295</v>
      </c>
    </row>
    <row r="430" spans="1:6" x14ac:dyDescent="0.25">
      <c r="A430" s="3" t="s">
        <v>384</v>
      </c>
      <c r="B430" s="10">
        <v>10044</v>
      </c>
      <c r="C430" s="23">
        <f t="shared" si="26"/>
        <v>2.6795690066386295E-3</v>
      </c>
      <c r="E430" s="13">
        <v>20.39</v>
      </c>
      <c r="F430" s="13">
        <f t="shared" si="27"/>
        <v>5.4636412045361654E-2</v>
      </c>
    </row>
    <row r="431" spans="1:6" x14ac:dyDescent="0.25">
      <c r="A431" s="3" t="s">
        <v>385</v>
      </c>
      <c r="B431" s="10">
        <v>24935</v>
      </c>
      <c r="C431" s="23">
        <f t="shared" si="26"/>
        <v>6.6522354819329183E-3</v>
      </c>
      <c r="E431" s="13">
        <v>9.5500000000000007</v>
      </c>
      <c r="F431" s="13">
        <f t="shared" si="27"/>
        <v>6.352884885245938E-2</v>
      </c>
    </row>
    <row r="432" spans="1:6" x14ac:dyDescent="0.25">
      <c r="A432" s="3" t="s">
        <v>386</v>
      </c>
      <c r="B432" s="10">
        <v>16301</v>
      </c>
      <c r="C432" s="23">
        <f t="shared" si="26"/>
        <v>4.3488305831557448E-3</v>
      </c>
      <c r="E432" s="13">
        <v>21.66</v>
      </c>
      <c r="F432" s="13">
        <f t="shared" si="27"/>
        <v>9.4195670431153428E-2</v>
      </c>
    </row>
    <row r="433" spans="1:6" x14ac:dyDescent="0.25">
      <c r="A433" s="3" t="s">
        <v>387</v>
      </c>
      <c r="B433" s="10">
        <v>13096</v>
      </c>
      <c r="C433" s="23">
        <f t="shared" si="26"/>
        <v>3.4937908911727889E-3</v>
      </c>
      <c r="E433" s="13">
        <v>24.51</v>
      </c>
      <c r="F433" s="13">
        <f t="shared" si="27"/>
        <v>8.5632814742645058E-2</v>
      </c>
    </row>
    <row r="434" spans="1:6" x14ac:dyDescent="0.25">
      <c r="A434" s="3" t="s">
        <v>388</v>
      </c>
      <c r="B434" s="10">
        <v>18547</v>
      </c>
      <c r="C434" s="23">
        <f t="shared" si="26"/>
        <v>4.9480253251818658E-3</v>
      </c>
      <c r="E434" s="13">
        <v>5.27</v>
      </c>
      <c r="F434" s="13">
        <f t="shared" si="27"/>
        <v>2.6076093463708431E-2</v>
      </c>
    </row>
    <row r="435" spans="1:6" x14ac:dyDescent="0.25">
      <c r="A435" s="3" t="s">
        <v>389</v>
      </c>
      <c r="B435" s="10">
        <v>9498</v>
      </c>
      <c r="C435" s="23">
        <f t="shared" si="26"/>
        <v>2.5339054584880231E-3</v>
      </c>
      <c r="E435" s="13">
        <v>26.82</v>
      </c>
      <c r="F435" s="13">
        <f t="shared" si="27"/>
        <v>6.7959344396648774E-2</v>
      </c>
    </row>
    <row r="436" spans="1:6" x14ac:dyDescent="0.25">
      <c r="A436" s="3" t="s">
        <v>390</v>
      </c>
      <c r="B436" s="10">
        <v>8889</v>
      </c>
      <c r="C436" s="23">
        <f t="shared" si="26"/>
        <v>2.3714345778585006E-3</v>
      </c>
      <c r="E436" s="13">
        <v>10.34</v>
      </c>
      <c r="F436" s="13">
        <f t="shared" si="27"/>
        <v>2.4520633535056895E-2</v>
      </c>
    </row>
    <row r="437" spans="1:6" x14ac:dyDescent="0.25">
      <c r="A437" s="3" t="s">
        <v>391</v>
      </c>
      <c r="B437" s="10">
        <v>28536</v>
      </c>
      <c r="C437" s="23">
        <f t="shared" si="26"/>
        <v>7.6129212637833467E-3</v>
      </c>
      <c r="E437" s="13">
        <v>7.03</v>
      </c>
      <c r="F437" s="13">
        <f t="shared" si="27"/>
        <v>5.3518836484396926E-2</v>
      </c>
    </row>
    <row r="438" spans="1:6" x14ac:dyDescent="0.25">
      <c r="A438" s="3" t="s">
        <v>392</v>
      </c>
      <c r="B438" s="10">
        <v>9110</v>
      </c>
      <c r="C438" s="23">
        <f t="shared" si="26"/>
        <v>2.4303936330623173E-3</v>
      </c>
      <c r="E438" s="13">
        <v>25.6</v>
      </c>
      <c r="F438" s="13">
        <f t="shared" si="27"/>
        <v>6.2218077006395325E-2</v>
      </c>
    </row>
    <row r="439" spans="1:6" x14ac:dyDescent="0.25">
      <c r="A439" s="33" t="s">
        <v>393</v>
      </c>
      <c r="B439" s="34">
        <f>6525</f>
        <v>6525</v>
      </c>
      <c r="C439" s="23"/>
      <c r="E439" s="13"/>
      <c r="F439" s="13">
        <f t="shared" si="27"/>
        <v>0</v>
      </c>
    </row>
    <row r="440" spans="1:6" x14ac:dyDescent="0.25">
      <c r="A440" s="3" t="s">
        <v>394</v>
      </c>
      <c r="B440" s="10">
        <v>11767</v>
      </c>
      <c r="C440" s="23">
        <f t="shared" si="26"/>
        <v>3.1392362107842248E-3</v>
      </c>
      <c r="E440" s="13">
        <v>24.21</v>
      </c>
      <c r="F440" s="13">
        <f t="shared" si="27"/>
        <v>7.6000908663086092E-2</v>
      </c>
    </row>
    <row r="441" spans="1:6" x14ac:dyDescent="0.25">
      <c r="A441" s="3" t="s">
        <v>395</v>
      </c>
      <c r="B441" s="10">
        <v>14969</v>
      </c>
      <c r="C441" s="23">
        <f>B441/B$493</f>
        <v>3.9934755536015177E-3</v>
      </c>
      <c r="E441" s="13">
        <v>26.42</v>
      </c>
      <c r="F441" s="13">
        <f t="shared" si="27"/>
        <v>0.10550762412615211</v>
      </c>
    </row>
    <row r="442" spans="1:6" x14ac:dyDescent="0.25">
      <c r="A442" s="3" t="s">
        <v>396</v>
      </c>
      <c r="B442" s="10">
        <v>11355</v>
      </c>
      <c r="C442" s="23">
        <f>B442/B$493</f>
        <v>3.0293215920332178E-3</v>
      </c>
      <c r="E442" s="13">
        <v>34.729999999999997</v>
      </c>
      <c r="F442" s="13">
        <f t="shared" si="27"/>
        <v>0.10520833889131365</v>
      </c>
    </row>
    <row r="443" spans="1:6" x14ac:dyDescent="0.25">
      <c r="A443" s="3" t="s">
        <v>397</v>
      </c>
      <c r="B443" s="10">
        <v>10588</v>
      </c>
      <c r="C443" s="23">
        <f>B443/B$493</f>
        <v>2.8246989886787943E-3</v>
      </c>
      <c r="E443" s="13">
        <v>29.6</v>
      </c>
      <c r="F443" s="13">
        <f t="shared" si="27"/>
        <v>8.3611090064892313E-2</v>
      </c>
    </row>
    <row r="444" spans="1:6" x14ac:dyDescent="0.25">
      <c r="A444" s="3" t="s">
        <v>398</v>
      </c>
      <c r="B444" s="10">
        <v>19304</v>
      </c>
      <c r="C444" s="23">
        <f>B444/B$493</f>
        <v>5.1499800979840802E-3</v>
      </c>
      <c r="E444" s="13">
        <v>41.49</v>
      </c>
      <c r="F444" s="13">
        <f t="shared" si="27"/>
        <v>0.21367267426535949</v>
      </c>
    </row>
    <row r="445" spans="1:6" x14ac:dyDescent="0.25">
      <c r="A445" s="3" t="s">
        <v>399</v>
      </c>
      <c r="B445" s="10">
        <v>32336</v>
      </c>
      <c r="C445" s="23">
        <f t="shared" ref="C445:C491" si="28">B445/B$493</f>
        <v>8.6266968736227329E-3</v>
      </c>
      <c r="E445" s="13">
        <v>9.1999999999999993</v>
      </c>
      <c r="F445" s="13">
        <f t="shared" si="27"/>
        <v>7.9365611237329131E-2</v>
      </c>
    </row>
    <row r="446" spans="1:6" x14ac:dyDescent="0.25">
      <c r="A446" s="3" t="s">
        <v>400</v>
      </c>
      <c r="B446" s="10">
        <v>11855</v>
      </c>
      <c r="C446" s="23">
        <f t="shared" si="28"/>
        <v>3.1627131196436632E-3</v>
      </c>
      <c r="E446" s="13">
        <v>30.6</v>
      </c>
      <c r="F446" s="13">
        <f t="shared" si="27"/>
        <v>9.6779021461096099E-2</v>
      </c>
    </row>
    <row r="447" spans="1:6" x14ac:dyDescent="0.25">
      <c r="A447" s="3" t="s">
        <v>401</v>
      </c>
      <c r="B447" s="10">
        <v>19469</v>
      </c>
      <c r="C447" s="23">
        <f t="shared" si="28"/>
        <v>5.1939993020955278E-3</v>
      </c>
      <c r="E447" s="13">
        <v>12.81</v>
      </c>
      <c r="F447" s="13">
        <f t="shared" si="27"/>
        <v>6.6535131059843711E-2</v>
      </c>
    </row>
    <row r="448" spans="1:6" x14ac:dyDescent="0.25">
      <c r="A448" s="3" t="s">
        <v>402</v>
      </c>
      <c r="B448" s="10">
        <v>14553</v>
      </c>
      <c r="C448" s="23">
        <f t="shared" si="28"/>
        <v>3.8824938026296271E-3</v>
      </c>
      <c r="E448" s="13">
        <v>22.74</v>
      </c>
      <c r="F448" s="13">
        <f t="shared" si="27"/>
        <v>8.8287909071797718E-2</v>
      </c>
    </row>
    <row r="449" spans="1:6" x14ac:dyDescent="0.25">
      <c r="A449" s="3" t="s">
        <v>403</v>
      </c>
      <c r="B449" s="10">
        <v>17317</v>
      </c>
      <c r="C449" s="23">
        <f t="shared" si="28"/>
        <v>4.6198821672601698E-3</v>
      </c>
      <c r="E449" s="13">
        <v>29.89</v>
      </c>
      <c r="F449" s="13">
        <f t="shared" si="27"/>
        <v>0.13808827797940648</v>
      </c>
    </row>
    <row r="450" spans="1:6" x14ac:dyDescent="0.25">
      <c r="A450" s="3" t="s">
        <v>404</v>
      </c>
      <c r="B450" s="10">
        <v>13539</v>
      </c>
      <c r="C450" s="23">
        <f t="shared" si="28"/>
        <v>3.6119757846356437E-3</v>
      </c>
      <c r="E450" s="13">
        <v>6.27</v>
      </c>
      <c r="F450" s="13">
        <f t="shared" ref="F450:F492" si="29">E450*C450</f>
        <v>2.2647088169665486E-2</v>
      </c>
    </row>
    <row r="451" spans="1:6" x14ac:dyDescent="0.25">
      <c r="A451" s="3" t="s">
        <v>405</v>
      </c>
      <c r="B451" s="10">
        <v>8537</v>
      </c>
      <c r="C451" s="23">
        <f t="shared" si="28"/>
        <v>2.2775269424207467E-3</v>
      </c>
      <c r="E451" s="13">
        <v>31.09</v>
      </c>
      <c r="F451" s="13">
        <f t="shared" si="29"/>
        <v>7.080831263986101E-2</v>
      </c>
    </row>
    <row r="452" spans="1:6" x14ac:dyDescent="0.25">
      <c r="A452" s="3" t="s">
        <v>406</v>
      </c>
      <c r="B452" s="10">
        <v>6756</v>
      </c>
      <c r="C452" s="23">
        <f t="shared" si="28"/>
        <v>1.8023863210723397E-3</v>
      </c>
      <c r="E452" s="13">
        <v>26.5</v>
      </c>
      <c r="F452" s="13">
        <f t="shared" si="29"/>
        <v>4.7763237508417003E-2</v>
      </c>
    </row>
    <row r="453" spans="1:6" x14ac:dyDescent="0.25">
      <c r="A453" s="3" t="s">
        <v>407</v>
      </c>
      <c r="B453" s="10">
        <v>15253</v>
      </c>
      <c r="C453" s="23">
        <f t="shared" si="28"/>
        <v>4.0692419412842505E-3</v>
      </c>
      <c r="E453" s="13">
        <v>41.14</v>
      </c>
      <c r="F453" s="13">
        <f t="shared" si="29"/>
        <v>0.16740861346443406</v>
      </c>
    </row>
    <row r="454" spans="1:6" x14ac:dyDescent="0.25">
      <c r="A454" s="3" t="s">
        <v>408</v>
      </c>
      <c r="B454" s="10">
        <v>20871</v>
      </c>
      <c r="C454" s="23">
        <f t="shared" si="28"/>
        <v>5.5680291455152166E-3</v>
      </c>
      <c r="E454" s="13">
        <v>17.8</v>
      </c>
      <c r="F454" s="13">
        <f t="shared" si="29"/>
        <v>9.9110918790170865E-2</v>
      </c>
    </row>
    <row r="455" spans="1:6" x14ac:dyDescent="0.25">
      <c r="A455" s="3" t="s">
        <v>409</v>
      </c>
      <c r="B455" s="10">
        <v>3894</v>
      </c>
      <c r="C455" s="23">
        <f t="shared" si="28"/>
        <v>1.0388532170301497E-3</v>
      </c>
      <c r="E455" s="13">
        <v>37.69</v>
      </c>
      <c r="F455" s="13">
        <f t="shared" si="29"/>
        <v>3.915437774986634E-2</v>
      </c>
    </row>
    <row r="456" spans="1:6" x14ac:dyDescent="0.25">
      <c r="A456" s="3" t="s">
        <v>410</v>
      </c>
      <c r="B456" s="10">
        <v>13891</v>
      </c>
      <c r="C456" s="23">
        <f t="shared" si="28"/>
        <v>3.7058834200733972E-3</v>
      </c>
      <c r="E456" s="13">
        <v>30.25</v>
      </c>
      <c r="F456" s="13">
        <f t="shared" si="29"/>
        <v>0.11210297345722027</v>
      </c>
    </row>
    <row r="457" spans="1:6" x14ac:dyDescent="0.25">
      <c r="A457" s="3" t="s">
        <v>411</v>
      </c>
      <c r="B457" s="10">
        <v>9722</v>
      </c>
      <c r="C457" s="23">
        <f t="shared" si="28"/>
        <v>2.5936648628575028E-3</v>
      </c>
      <c r="E457" s="13">
        <v>38.26</v>
      </c>
      <c r="F457" s="13">
        <f t="shared" si="29"/>
        <v>9.9233617652928055E-2</v>
      </c>
    </row>
    <row r="458" spans="1:6" x14ac:dyDescent="0.25">
      <c r="A458" s="3" t="s">
        <v>412</v>
      </c>
      <c r="B458" s="10">
        <v>15719</v>
      </c>
      <c r="C458" s="23">
        <f t="shared" si="28"/>
        <v>4.1935628450171861E-3</v>
      </c>
      <c r="E458" s="13">
        <v>41.78</v>
      </c>
      <c r="F458" s="13">
        <f t="shared" si="29"/>
        <v>0.17520705566481803</v>
      </c>
    </row>
    <row r="459" spans="1:6" x14ac:dyDescent="0.25">
      <c r="A459" s="3" t="s">
        <v>413</v>
      </c>
      <c r="B459" s="10">
        <v>40919</v>
      </c>
      <c r="C459" s="23">
        <f t="shared" si="28"/>
        <v>1.0916495836583641E-2</v>
      </c>
      <c r="E459" s="13">
        <v>10.68</v>
      </c>
      <c r="F459" s="13">
        <f t="shared" si="29"/>
        <v>0.11658817553471328</v>
      </c>
    </row>
    <row r="460" spans="1:6" x14ac:dyDescent="0.25">
      <c r="A460" s="3" t="s">
        <v>414</v>
      </c>
      <c r="B460" s="10">
        <v>11290</v>
      </c>
      <c r="C460" s="23">
        <f t="shared" si="28"/>
        <v>3.0119806934438597E-3</v>
      </c>
      <c r="E460" s="13">
        <v>32.42</v>
      </c>
      <c r="F460" s="13">
        <f t="shared" si="29"/>
        <v>9.7648414081449933E-2</v>
      </c>
    </row>
    <row r="461" spans="1:6" x14ac:dyDescent="0.25">
      <c r="A461" s="3" t="s">
        <v>415</v>
      </c>
      <c r="B461" s="10">
        <v>12344</v>
      </c>
      <c r="C461" s="23">
        <f t="shared" si="28"/>
        <v>3.293170033646679E-3</v>
      </c>
      <c r="E461" s="13">
        <v>29.53</v>
      </c>
      <c r="F461" s="13">
        <f t="shared" si="29"/>
        <v>9.7247311093586433E-2</v>
      </c>
    </row>
    <row r="462" spans="1:6" x14ac:dyDescent="0.25">
      <c r="A462" s="3" t="s">
        <v>416</v>
      </c>
      <c r="B462" s="10">
        <v>48353</v>
      </c>
      <c r="C462" s="23">
        <f t="shared" si="28"/>
        <v>1.2899761069095744E-2</v>
      </c>
      <c r="E462" s="13">
        <v>11.64</v>
      </c>
      <c r="F462" s="13">
        <f t="shared" si="29"/>
        <v>0.15015321884427446</v>
      </c>
    </row>
    <row r="463" spans="1:6" x14ac:dyDescent="0.25">
      <c r="A463" s="3" t="s">
        <v>417</v>
      </c>
      <c r="B463" s="10">
        <v>10022</v>
      </c>
      <c r="C463" s="23">
        <f t="shared" si="28"/>
        <v>2.6736997794237698E-3</v>
      </c>
      <c r="E463" s="13">
        <v>22.15</v>
      </c>
      <c r="F463" s="13">
        <f t="shared" si="29"/>
        <v>5.9222450114236498E-2</v>
      </c>
    </row>
    <row r="464" spans="1:6" x14ac:dyDescent="0.25">
      <c r="A464" s="3" t="s">
        <v>418</v>
      </c>
      <c r="B464" s="10">
        <v>13434</v>
      </c>
      <c r="C464" s="23">
        <f t="shared" si="28"/>
        <v>3.5839635638374502E-3</v>
      </c>
      <c r="E464" s="13">
        <v>27.98</v>
      </c>
      <c r="F464" s="13">
        <f t="shared" si="29"/>
        <v>0.10027930051617186</v>
      </c>
    </row>
    <row r="465" spans="1:6" x14ac:dyDescent="0.25">
      <c r="A465" s="3" t="s">
        <v>419</v>
      </c>
      <c r="B465" s="10">
        <v>23196</v>
      </c>
      <c r="C465" s="23">
        <f t="shared" si="28"/>
        <v>6.1882997489037883E-3</v>
      </c>
      <c r="E465" s="13">
        <v>33.409999999999997</v>
      </c>
      <c r="F465" s="13">
        <f t="shared" si="29"/>
        <v>0.20675109461087554</v>
      </c>
    </row>
    <row r="466" spans="1:6" x14ac:dyDescent="0.25">
      <c r="A466" s="3" t="s">
        <v>420</v>
      </c>
      <c r="B466" s="10">
        <v>14026</v>
      </c>
      <c r="C466" s="23">
        <f t="shared" si="28"/>
        <v>3.7418991325282175E-3</v>
      </c>
      <c r="E466" s="13">
        <v>26.32</v>
      </c>
      <c r="F466" s="13">
        <f t="shared" si="29"/>
        <v>9.8486785168142688E-2</v>
      </c>
    </row>
    <row r="467" spans="1:6" x14ac:dyDescent="0.25">
      <c r="A467" s="3" t="s">
        <v>421</v>
      </c>
      <c r="B467" s="10">
        <v>10200</v>
      </c>
      <c r="C467" s="23">
        <f t="shared" si="28"/>
        <v>2.7211871632530885E-3</v>
      </c>
      <c r="E467" s="13">
        <v>29.75</v>
      </c>
      <c r="F467" s="13">
        <f t="shared" si="29"/>
        <v>8.0955318106779375E-2</v>
      </c>
    </row>
    <row r="468" spans="1:6" x14ac:dyDescent="0.25">
      <c r="A468" s="3" t="s">
        <v>422</v>
      </c>
      <c r="B468" s="10">
        <v>7368</v>
      </c>
      <c r="C468" s="23">
        <f t="shared" si="28"/>
        <v>1.9656575508675252E-3</v>
      </c>
      <c r="E468" s="13">
        <v>39.72</v>
      </c>
      <c r="F468" s="13">
        <f t="shared" si="29"/>
        <v>7.8075917920458093E-2</v>
      </c>
    </row>
    <row r="469" spans="1:6" x14ac:dyDescent="0.25">
      <c r="A469" s="3" t="s">
        <v>423</v>
      </c>
      <c r="B469" s="10">
        <v>19154</v>
      </c>
      <c r="C469" s="23">
        <f t="shared" si="28"/>
        <v>5.1099626397009467E-3</v>
      </c>
      <c r="E469" s="13">
        <v>30</v>
      </c>
      <c r="F469" s="13">
        <f t="shared" si="29"/>
        <v>0.15329887919102841</v>
      </c>
    </row>
    <row r="470" spans="1:6" x14ac:dyDescent="0.25">
      <c r="A470" s="3" t="s">
        <v>424</v>
      </c>
      <c r="B470" s="10">
        <v>40810</v>
      </c>
      <c r="C470" s="23">
        <f t="shared" si="28"/>
        <v>1.0887416483564564E-2</v>
      </c>
      <c r="E470" s="13">
        <v>15.25</v>
      </c>
      <c r="F470" s="13">
        <f t="shared" si="29"/>
        <v>0.16603310137435959</v>
      </c>
    </row>
    <row r="471" spans="1:6" x14ac:dyDescent="0.25">
      <c r="A471" s="3" t="s">
        <v>425</v>
      </c>
      <c r="B471" s="10">
        <v>22450</v>
      </c>
      <c r="C471" s="23">
        <f t="shared" si="28"/>
        <v>5.989279589709004E-3</v>
      </c>
      <c r="E471" s="13">
        <v>23.53</v>
      </c>
      <c r="F471" s="13">
        <f t="shared" si="29"/>
        <v>0.14092774874585287</v>
      </c>
    </row>
    <row r="472" spans="1:6" x14ac:dyDescent="0.25">
      <c r="A472" s="3" t="s">
        <v>426</v>
      </c>
      <c r="B472" s="10">
        <v>13836</v>
      </c>
      <c r="C472" s="23">
        <f t="shared" si="28"/>
        <v>3.6912103520362481E-3</v>
      </c>
      <c r="E472" s="13">
        <v>30.51</v>
      </c>
      <c r="F472" s="13">
        <f t="shared" si="29"/>
        <v>0.11261882784062593</v>
      </c>
    </row>
    <row r="473" spans="1:6" x14ac:dyDescent="0.25">
      <c r="A473" s="3" t="s">
        <v>427</v>
      </c>
      <c r="B473" s="10">
        <v>42449</v>
      </c>
      <c r="C473" s="23">
        <f t="shared" si="28"/>
        <v>1.1324673911071604E-2</v>
      </c>
      <c r="E473" s="13">
        <v>23.63</v>
      </c>
      <c r="F473" s="13">
        <f t="shared" si="29"/>
        <v>0.26760204451862202</v>
      </c>
    </row>
    <row r="474" spans="1:6" x14ac:dyDescent="0.25">
      <c r="A474" s="3" t="s">
        <v>428</v>
      </c>
      <c r="B474" s="10">
        <v>11523</v>
      </c>
      <c r="C474" s="23">
        <f t="shared" si="28"/>
        <v>3.0741411453103274E-3</v>
      </c>
      <c r="E474" s="13">
        <v>19.23</v>
      </c>
      <c r="F474" s="13">
        <f t="shared" si="29"/>
        <v>5.9115734224317595E-2</v>
      </c>
    </row>
    <row r="475" spans="1:6" x14ac:dyDescent="0.25">
      <c r="A475" s="3" t="s">
        <v>429</v>
      </c>
      <c r="B475" s="10">
        <v>36295</v>
      </c>
      <c r="C475" s="23">
        <f t="shared" si="28"/>
        <v>9.6828909892422398E-3</v>
      </c>
      <c r="E475" s="13">
        <v>15.29</v>
      </c>
      <c r="F475" s="13">
        <f t="shared" si="29"/>
        <v>0.14805140322551383</v>
      </c>
    </row>
    <row r="476" spans="1:6" x14ac:dyDescent="0.25">
      <c r="A476" s="3" t="s">
        <v>430</v>
      </c>
      <c r="B476" s="10">
        <v>13143</v>
      </c>
      <c r="C476" s="23">
        <f t="shared" si="28"/>
        <v>3.5063296947681708E-3</v>
      </c>
      <c r="E476" s="13">
        <v>28.24</v>
      </c>
      <c r="F476" s="13">
        <f t="shared" si="29"/>
        <v>9.901875058025314E-2</v>
      </c>
    </row>
    <row r="477" spans="1:6" x14ac:dyDescent="0.25">
      <c r="A477" s="3" t="s">
        <v>431</v>
      </c>
      <c r="B477" s="10">
        <v>15608</v>
      </c>
      <c r="C477" s="23">
        <f t="shared" si="28"/>
        <v>4.163949925887667E-3</v>
      </c>
      <c r="E477" s="13">
        <v>43.36</v>
      </c>
      <c r="F477" s="13">
        <f t="shared" si="29"/>
        <v>0.18054886878648924</v>
      </c>
    </row>
    <row r="478" spans="1:6" x14ac:dyDescent="0.25">
      <c r="A478" s="3" t="s">
        <v>432</v>
      </c>
      <c r="B478" s="10">
        <v>12153</v>
      </c>
      <c r="C478" s="23">
        <f t="shared" si="28"/>
        <v>3.2422144700994886E-3</v>
      </c>
      <c r="E478" s="13">
        <v>39.42</v>
      </c>
      <c r="F478" s="13">
        <f t="shared" si="29"/>
        <v>0.12780809441132185</v>
      </c>
    </row>
    <row r="479" spans="1:6" x14ac:dyDescent="0.25">
      <c r="A479" s="3" t="s">
        <v>433</v>
      </c>
      <c r="B479" s="10">
        <v>11287</v>
      </c>
      <c r="C479" s="23">
        <f t="shared" si="28"/>
        <v>3.0111803442781971E-3</v>
      </c>
      <c r="E479" s="13">
        <v>23.41</v>
      </c>
      <c r="F479" s="13">
        <f t="shared" si="29"/>
        <v>7.0491731859552598E-2</v>
      </c>
    </row>
    <row r="480" spans="1:6" x14ac:dyDescent="0.25">
      <c r="A480" s="3" t="s">
        <v>434</v>
      </c>
      <c r="B480" s="10">
        <v>14653</v>
      </c>
      <c r="C480" s="23">
        <f t="shared" si="28"/>
        <v>3.9091721081517166E-3</v>
      </c>
      <c r="E480" s="13">
        <v>40.25</v>
      </c>
      <c r="F480" s="13">
        <f t="shared" si="29"/>
        <v>0.1573441773531066</v>
      </c>
    </row>
    <row r="481" spans="1:6" x14ac:dyDescent="0.25">
      <c r="A481" s="3" t="s">
        <v>435</v>
      </c>
      <c r="B481" s="10">
        <v>27683</v>
      </c>
      <c r="C481" s="23">
        <f t="shared" si="28"/>
        <v>7.3853553176799263E-3</v>
      </c>
      <c r="E481" s="13">
        <v>38.659999999999997</v>
      </c>
      <c r="F481" s="13">
        <f t="shared" si="29"/>
        <v>0.28551783658150592</v>
      </c>
    </row>
    <row r="482" spans="1:6" x14ac:dyDescent="0.25">
      <c r="A482" s="3" t="s">
        <v>436</v>
      </c>
      <c r="B482" s="10">
        <v>10956</v>
      </c>
      <c r="C482" s="23">
        <f t="shared" si="28"/>
        <v>2.9228751530000823E-3</v>
      </c>
      <c r="E482" s="13">
        <v>28.38</v>
      </c>
      <c r="F482" s="13">
        <f t="shared" si="29"/>
        <v>8.2951196842142333E-2</v>
      </c>
    </row>
    <row r="483" spans="1:6" x14ac:dyDescent="0.25">
      <c r="A483" s="3" t="s">
        <v>437</v>
      </c>
      <c r="B483" s="10">
        <v>9694</v>
      </c>
      <c r="C483" s="23">
        <f t="shared" si="28"/>
        <v>2.5861949373113175E-3</v>
      </c>
      <c r="E483" s="13">
        <v>53.87</v>
      </c>
      <c r="F483" s="13">
        <f t="shared" si="29"/>
        <v>0.13931832127296068</v>
      </c>
    </row>
    <row r="484" spans="1:6" x14ac:dyDescent="0.25">
      <c r="A484" s="3" t="s">
        <v>438</v>
      </c>
      <c r="B484" s="10">
        <v>76837</v>
      </c>
      <c r="C484" s="23">
        <f t="shared" si="28"/>
        <v>2.0498809614007605E-2</v>
      </c>
      <c r="E484" s="13">
        <v>14.01</v>
      </c>
      <c r="F484" s="13">
        <f t="shared" si="29"/>
        <v>0.28718832269224653</v>
      </c>
    </row>
    <row r="485" spans="1:6" x14ac:dyDescent="0.25">
      <c r="A485" s="3" t="s">
        <v>439</v>
      </c>
      <c r="B485" s="10">
        <v>5320</v>
      </c>
      <c r="C485" s="23">
        <f t="shared" si="28"/>
        <v>1.4192858537751404E-3</v>
      </c>
      <c r="E485" s="13">
        <v>67.180000000000007</v>
      </c>
      <c r="F485" s="13">
        <f t="shared" si="29"/>
        <v>9.5347623656613936E-2</v>
      </c>
    </row>
    <row r="486" spans="1:6" x14ac:dyDescent="0.25">
      <c r="A486" s="3" t="s">
        <v>440</v>
      </c>
      <c r="B486" s="10">
        <v>8487</v>
      </c>
      <c r="C486" s="23">
        <f t="shared" si="28"/>
        <v>2.2641877896597022E-3</v>
      </c>
      <c r="E486" s="13">
        <v>44.15</v>
      </c>
      <c r="F486" s="13">
        <f t="shared" si="29"/>
        <v>9.996389091347585E-2</v>
      </c>
    </row>
    <row r="487" spans="1:6" x14ac:dyDescent="0.25">
      <c r="A487" s="3" t="s">
        <v>441</v>
      </c>
      <c r="B487" s="10">
        <v>18383</v>
      </c>
      <c r="C487" s="23">
        <f t="shared" si="28"/>
        <v>4.9042729041256401E-3</v>
      </c>
      <c r="E487" s="13">
        <v>29.48</v>
      </c>
      <c r="F487" s="13">
        <f t="shared" si="29"/>
        <v>0.14457796521362387</v>
      </c>
    </row>
    <row r="488" spans="1:6" x14ac:dyDescent="0.25">
      <c r="A488" s="3" t="s">
        <v>442</v>
      </c>
      <c r="B488" s="10">
        <v>6207</v>
      </c>
      <c r="C488" s="23">
        <f t="shared" si="28"/>
        <v>1.6559224237560706E-3</v>
      </c>
      <c r="E488" s="13">
        <v>53.91</v>
      </c>
      <c r="F488" s="13">
        <f t="shared" si="29"/>
        <v>8.927077786468976E-2</v>
      </c>
    </row>
    <row r="489" spans="1:6" x14ac:dyDescent="0.25">
      <c r="A489" s="3" t="s">
        <v>443</v>
      </c>
      <c r="B489" s="10">
        <v>14346</v>
      </c>
      <c r="C489" s="23">
        <f t="shared" si="28"/>
        <v>3.8272697101989026E-3</v>
      </c>
      <c r="E489" s="13">
        <v>23.09</v>
      </c>
      <c r="F489" s="13">
        <f t="shared" si="29"/>
        <v>8.8371657608492665E-2</v>
      </c>
    </row>
    <row r="490" spans="1:6" x14ac:dyDescent="0.25">
      <c r="A490" s="3" t="s">
        <v>444</v>
      </c>
      <c r="B490" s="10">
        <v>10897</v>
      </c>
      <c r="C490" s="23">
        <f t="shared" si="28"/>
        <v>2.9071349527420498E-3</v>
      </c>
      <c r="E490" s="13">
        <v>28.67</v>
      </c>
      <c r="F490" s="13">
        <f t="shared" si="29"/>
        <v>8.3347559095114571E-2</v>
      </c>
    </row>
    <row r="491" spans="1:6" x14ac:dyDescent="0.25">
      <c r="A491" s="3" t="s">
        <v>445</v>
      </c>
      <c r="B491" s="10">
        <v>10644</v>
      </c>
      <c r="C491" s="23">
        <f t="shared" si="28"/>
        <v>2.8396388397711643E-3</v>
      </c>
      <c r="E491" s="13">
        <v>34.65</v>
      </c>
      <c r="F491" s="13">
        <f t="shared" si="29"/>
        <v>9.8393485798070834E-2</v>
      </c>
    </row>
    <row r="492" spans="1:6" x14ac:dyDescent="0.25">
      <c r="A492" s="3" t="s">
        <v>446</v>
      </c>
      <c r="B492" s="10">
        <v>15781</v>
      </c>
      <c r="C492" s="23">
        <f>B492/B$493</f>
        <v>4.2101033944408816E-3</v>
      </c>
      <c r="E492" s="13">
        <v>37.39</v>
      </c>
      <c r="F492" s="13">
        <f t="shared" si="29"/>
        <v>0.15741576591814457</v>
      </c>
    </row>
    <row r="493" spans="1:6" x14ac:dyDescent="0.25">
      <c r="A493" s="20" t="s">
        <v>0</v>
      </c>
      <c r="B493" s="21">
        <f>SUM(B385:B492)</f>
        <v>3748364</v>
      </c>
      <c r="C493" s="22">
        <f>B493/B$493</f>
        <v>1</v>
      </c>
      <c r="D493" s="18"/>
      <c r="E493" s="18"/>
      <c r="F493" s="19">
        <f>SUM(F385:F492)</f>
        <v>27.244365677933096</v>
      </c>
    </row>
    <row r="496" spans="1:6" x14ac:dyDescent="0.25">
      <c r="A496" s="9" t="s">
        <v>952</v>
      </c>
    </row>
    <row r="497" spans="1:6" x14ac:dyDescent="0.25">
      <c r="A497" s="3" t="s">
        <v>447</v>
      </c>
      <c r="B497" s="10">
        <v>92550</v>
      </c>
      <c r="C497" s="23">
        <f>B497/B$594</f>
        <v>5.2498574795578887E-2</v>
      </c>
      <c r="E497" s="13">
        <v>12.17</v>
      </c>
      <c r="F497" s="13">
        <f t="shared" ref="F497:F560" si="30">E497*C497</f>
        <v>0.63890765526219506</v>
      </c>
    </row>
    <row r="498" spans="1:6" x14ac:dyDescent="0.25">
      <c r="A498" s="3" t="s">
        <v>448</v>
      </c>
      <c r="B498" s="10">
        <v>247717</v>
      </c>
      <c r="C498" s="23">
        <f t="shared" ref="C498:C561" si="31">B498/B$594</f>
        <v>0.14051636361573652</v>
      </c>
      <c r="E498" s="13">
        <v>19.420000000000002</v>
      </c>
      <c r="F498" s="13">
        <f t="shared" si="30"/>
        <v>2.7288277814176034</v>
      </c>
    </row>
    <row r="499" spans="1:6" x14ac:dyDescent="0.25">
      <c r="A499" s="3" t="s">
        <v>449</v>
      </c>
      <c r="B499" s="10">
        <v>218095</v>
      </c>
      <c r="C499" s="23">
        <f t="shared" si="31"/>
        <v>0.12371341620790684</v>
      </c>
      <c r="E499" s="13">
        <v>17.559999999999999</v>
      </c>
      <c r="F499" s="13">
        <f t="shared" si="30"/>
        <v>2.1724075886108438</v>
      </c>
    </row>
    <row r="500" spans="1:6" x14ac:dyDescent="0.25">
      <c r="A500" s="3" t="s">
        <v>450</v>
      </c>
      <c r="B500" s="10">
        <v>79502</v>
      </c>
      <c r="C500" s="23">
        <f t="shared" si="31"/>
        <v>4.5097154979990416E-2</v>
      </c>
      <c r="E500" s="13">
        <v>12.7</v>
      </c>
      <c r="F500" s="13">
        <f t="shared" si="30"/>
        <v>0.57273386824587824</v>
      </c>
    </row>
    <row r="501" spans="1:6" x14ac:dyDescent="0.25">
      <c r="A501" s="3" t="s">
        <v>451</v>
      </c>
      <c r="B501" s="10">
        <v>12603</v>
      </c>
      <c r="C501" s="23">
        <f t="shared" si="31"/>
        <v>7.1489955499587331E-3</v>
      </c>
      <c r="E501" s="13">
        <v>11.01</v>
      </c>
      <c r="F501" s="13">
        <f t="shared" si="30"/>
        <v>7.871044100504565E-2</v>
      </c>
    </row>
    <row r="502" spans="1:6" x14ac:dyDescent="0.25">
      <c r="A502" s="3" t="s">
        <v>452</v>
      </c>
      <c r="B502" s="10">
        <v>22114</v>
      </c>
      <c r="C502" s="23">
        <f t="shared" si="31"/>
        <v>1.2544067887946316E-2</v>
      </c>
      <c r="E502" s="13">
        <v>10.94</v>
      </c>
      <c r="F502" s="13">
        <f t="shared" si="30"/>
        <v>0.13723210269413269</v>
      </c>
    </row>
    <row r="503" spans="1:6" x14ac:dyDescent="0.25">
      <c r="A503" s="3" t="s">
        <v>453</v>
      </c>
      <c r="B503" s="31">
        <v>15771</v>
      </c>
      <c r="C503" s="23">
        <f t="shared" si="31"/>
        <v>8.9460294230261986E-3</v>
      </c>
      <c r="E503" s="13">
        <v>31.93</v>
      </c>
      <c r="F503" s="13">
        <f t="shared" si="30"/>
        <v>0.28564671947722653</v>
      </c>
    </row>
    <row r="504" spans="1:6" x14ac:dyDescent="0.25">
      <c r="A504" s="3" t="s">
        <v>454</v>
      </c>
      <c r="B504" s="10">
        <v>13354</v>
      </c>
      <c r="C504" s="23">
        <f t="shared" si="31"/>
        <v>7.5749969510552186E-3</v>
      </c>
      <c r="E504" s="13">
        <v>44.73</v>
      </c>
      <c r="F504" s="13">
        <f t="shared" si="30"/>
        <v>0.33882961362069991</v>
      </c>
    </row>
    <row r="505" spans="1:6" x14ac:dyDescent="0.25">
      <c r="A505" s="3" t="s">
        <v>455</v>
      </c>
      <c r="B505" s="10">
        <v>18826</v>
      </c>
      <c r="C505" s="23">
        <f t="shared" si="31"/>
        <v>1.0678964549989931E-2</v>
      </c>
      <c r="E505" s="13">
        <v>35.229999999999997</v>
      </c>
      <c r="F505" s="13">
        <f t="shared" si="30"/>
        <v>0.37621992109614522</v>
      </c>
    </row>
    <row r="506" spans="1:6" x14ac:dyDescent="0.25">
      <c r="A506" s="3" t="s">
        <v>456</v>
      </c>
      <c r="B506" s="10">
        <v>15853</v>
      </c>
      <c r="C506" s="23">
        <f t="shared" si="31"/>
        <v>8.9925435573669603E-3</v>
      </c>
      <c r="E506" s="13">
        <v>18.89</v>
      </c>
      <c r="F506" s="13">
        <f t="shared" si="30"/>
        <v>0.16986914779866188</v>
      </c>
    </row>
    <row r="507" spans="1:6" x14ac:dyDescent="0.25">
      <c r="A507" s="3" t="s">
        <v>457</v>
      </c>
      <c r="B507" s="10">
        <v>23535</v>
      </c>
      <c r="C507" s="23">
        <f t="shared" si="31"/>
        <v>1.3350123801339266E-2</v>
      </c>
      <c r="E507" s="13">
        <v>39.29</v>
      </c>
      <c r="F507" s="13">
        <f t="shared" si="30"/>
        <v>0.52452636415461973</v>
      </c>
    </row>
    <row r="508" spans="1:6" x14ac:dyDescent="0.25">
      <c r="A508" s="3" t="s">
        <v>458</v>
      </c>
      <c r="B508" s="10">
        <v>13196</v>
      </c>
      <c r="C508" s="23">
        <f t="shared" si="31"/>
        <v>7.4853721556181413E-3</v>
      </c>
      <c r="E508" s="13">
        <v>43.08</v>
      </c>
      <c r="F508" s="13">
        <f t="shared" si="30"/>
        <v>0.32246983246402949</v>
      </c>
    </row>
    <row r="509" spans="1:6" x14ac:dyDescent="0.25">
      <c r="A509" s="3" t="s">
        <v>459</v>
      </c>
      <c r="B509" s="10">
        <v>2555</v>
      </c>
      <c r="C509" s="23">
        <f t="shared" si="31"/>
        <v>1.4493123565932368E-3</v>
      </c>
      <c r="E509" s="13">
        <v>43.58</v>
      </c>
      <c r="F509" s="13">
        <f t="shared" si="30"/>
        <v>6.3161032500333253E-2</v>
      </c>
    </row>
    <row r="510" spans="1:6" x14ac:dyDescent="0.25">
      <c r="A510" s="3" t="s">
        <v>460</v>
      </c>
      <c r="B510" s="10">
        <v>23735</v>
      </c>
      <c r="C510" s="23">
        <f t="shared" si="31"/>
        <v>1.3463572909487465E-2</v>
      </c>
      <c r="E510" s="13">
        <v>13.83</v>
      </c>
      <c r="F510" s="13">
        <f t="shared" si="30"/>
        <v>0.18620121333821163</v>
      </c>
    </row>
    <row r="511" spans="1:6" x14ac:dyDescent="0.25">
      <c r="A511" s="3" t="s">
        <v>461</v>
      </c>
      <c r="B511" s="10">
        <v>321</v>
      </c>
      <c r="C511" s="23">
        <f t="shared" si="31"/>
        <v>1.820858185778587E-4</v>
      </c>
      <c r="E511" s="13">
        <v>54.08</v>
      </c>
      <c r="F511" s="13">
        <f t="shared" si="30"/>
        <v>9.8472010686905982E-3</v>
      </c>
    </row>
    <row r="512" spans="1:6" x14ac:dyDescent="0.25">
      <c r="A512" s="3" t="s">
        <v>462</v>
      </c>
      <c r="B512" s="10">
        <v>4895</v>
      </c>
      <c r="C512" s="23">
        <f t="shared" si="31"/>
        <v>2.7766669219271602E-3</v>
      </c>
      <c r="E512" s="13">
        <v>43.09</v>
      </c>
      <c r="F512" s="13">
        <f t="shared" si="30"/>
        <v>0.11964657766584134</v>
      </c>
    </row>
    <row r="513" spans="1:6" x14ac:dyDescent="0.25">
      <c r="A513" s="3" t="s">
        <v>463</v>
      </c>
      <c r="B513" s="10">
        <v>13924</v>
      </c>
      <c r="C513" s="23">
        <f t="shared" si="31"/>
        <v>7.8983269092775844E-3</v>
      </c>
      <c r="E513" s="13">
        <v>97.41</v>
      </c>
      <c r="F513" s="13">
        <f t="shared" si="30"/>
        <v>0.76937602423272944</v>
      </c>
    </row>
    <row r="514" spans="1:6" x14ac:dyDescent="0.25">
      <c r="A514" s="3" t="s">
        <v>464</v>
      </c>
      <c r="B514" s="10">
        <v>11490</v>
      </c>
      <c r="C514" s="23">
        <f t="shared" si="31"/>
        <v>6.5176512631140082E-3</v>
      </c>
      <c r="E514" s="13">
        <v>69.459999999999994</v>
      </c>
      <c r="F514" s="13">
        <f t="shared" si="30"/>
        <v>0.45271605673589899</v>
      </c>
    </row>
    <row r="515" spans="1:6" x14ac:dyDescent="0.25">
      <c r="A515" s="3" t="s">
        <v>465</v>
      </c>
      <c r="B515" s="10">
        <v>4660</v>
      </c>
      <c r="C515" s="23">
        <f t="shared" si="31"/>
        <v>2.6433642198530269E-3</v>
      </c>
      <c r="E515" s="13">
        <v>112.7</v>
      </c>
      <c r="F515" s="13">
        <f t="shared" si="30"/>
        <v>0.29790714757743614</v>
      </c>
    </row>
    <row r="516" spans="1:6" x14ac:dyDescent="0.25">
      <c r="A516" s="3" t="s">
        <v>466</v>
      </c>
      <c r="B516" s="10">
        <v>9385</v>
      </c>
      <c r="C516" s="23">
        <f t="shared" si="31"/>
        <v>5.3235993998542175E-3</v>
      </c>
      <c r="E516" s="13">
        <v>32.159999999999997</v>
      </c>
      <c r="F516" s="13">
        <f t="shared" si="30"/>
        <v>0.17120695669931163</v>
      </c>
    </row>
    <row r="517" spans="1:6" x14ac:dyDescent="0.25">
      <c r="A517" s="3" t="s">
        <v>467</v>
      </c>
      <c r="B517" s="10">
        <v>1477</v>
      </c>
      <c r="C517" s="23">
        <f t="shared" si="31"/>
        <v>8.3782166367444644E-4</v>
      </c>
      <c r="E517" s="13">
        <v>89.77</v>
      </c>
      <c r="F517" s="13">
        <f t="shared" si="30"/>
        <v>7.5211250748055056E-2</v>
      </c>
    </row>
    <row r="518" spans="1:6" x14ac:dyDescent="0.25">
      <c r="A518" s="3" t="s">
        <v>468</v>
      </c>
      <c r="B518" s="10">
        <v>10764</v>
      </c>
      <c r="C518" s="23">
        <f t="shared" si="31"/>
        <v>6.1058310005360468E-3</v>
      </c>
      <c r="E518" s="13">
        <v>149.34</v>
      </c>
      <c r="F518" s="13">
        <f t="shared" si="30"/>
        <v>0.91184480162005321</v>
      </c>
    </row>
    <row r="519" spans="1:6" x14ac:dyDescent="0.25">
      <c r="A519" s="3" t="s">
        <v>469</v>
      </c>
      <c r="B519" s="10">
        <v>40549</v>
      </c>
      <c r="C519" s="23">
        <f t="shared" si="31"/>
        <v>2.3001239431506518E-2</v>
      </c>
      <c r="E519" s="13">
        <v>59.2</v>
      </c>
      <c r="F519" s="13">
        <f t="shared" si="30"/>
        <v>1.3616733743451859</v>
      </c>
    </row>
    <row r="520" spans="1:6" x14ac:dyDescent="0.25">
      <c r="A520" s="3" t="s">
        <v>470</v>
      </c>
      <c r="B520" s="10">
        <v>23838</v>
      </c>
      <c r="C520" s="23">
        <f t="shared" si="31"/>
        <v>1.3521999200183788E-2</v>
      </c>
      <c r="E520" s="13">
        <v>32.44</v>
      </c>
      <c r="F520" s="13">
        <f t="shared" si="30"/>
        <v>0.43865365405396206</v>
      </c>
    </row>
    <row r="521" spans="1:6" x14ac:dyDescent="0.25">
      <c r="A521" s="3" t="s">
        <v>471</v>
      </c>
      <c r="B521" s="10">
        <v>21450</v>
      </c>
      <c r="C521" s="23">
        <f t="shared" si="31"/>
        <v>1.2167416848894297E-2</v>
      </c>
      <c r="E521" s="13">
        <v>44.18</v>
      </c>
      <c r="F521" s="13">
        <f t="shared" si="30"/>
        <v>0.53755647638415005</v>
      </c>
    </row>
    <row r="522" spans="1:6" x14ac:dyDescent="0.25">
      <c r="A522" s="3" t="s">
        <v>472</v>
      </c>
      <c r="B522" s="10">
        <v>8469</v>
      </c>
      <c r="C522" s="23">
        <f t="shared" si="31"/>
        <v>4.8040024845354681E-3</v>
      </c>
      <c r="E522" s="13">
        <v>41.92</v>
      </c>
      <c r="F522" s="13">
        <f t="shared" si="30"/>
        <v>0.20138378415172684</v>
      </c>
    </row>
    <row r="523" spans="1:6" x14ac:dyDescent="0.25">
      <c r="A523" s="3" t="s">
        <v>473</v>
      </c>
      <c r="B523" s="10">
        <v>20255</v>
      </c>
      <c r="C523" s="23">
        <f t="shared" si="31"/>
        <v>1.148955842770881E-2</v>
      </c>
      <c r="E523" s="13">
        <v>28.92</v>
      </c>
      <c r="F523" s="13">
        <f t="shared" si="30"/>
        <v>0.33227802972933879</v>
      </c>
    </row>
    <row r="524" spans="1:6" x14ac:dyDescent="0.25">
      <c r="A524" s="33" t="s">
        <v>474</v>
      </c>
      <c r="B524" s="34">
        <v>3426</v>
      </c>
      <c r="C524" s="35"/>
      <c r="E524" s="13"/>
      <c r="F524" s="13"/>
    </row>
    <row r="525" spans="1:6" x14ac:dyDescent="0.25">
      <c r="A525" s="3" t="s">
        <v>475</v>
      </c>
      <c r="B525" s="10">
        <v>1197</v>
      </c>
      <c r="C525" s="23">
        <f t="shared" si="31"/>
        <v>6.7899291226696846E-4</v>
      </c>
      <c r="E525" s="13">
        <v>95.75</v>
      </c>
      <c r="F525" s="13">
        <f t="shared" si="30"/>
        <v>6.5013571349562232E-2</v>
      </c>
    </row>
    <row r="526" spans="1:6" x14ac:dyDescent="0.25">
      <c r="A526" s="3" t="s">
        <v>476</v>
      </c>
      <c r="B526" s="10">
        <v>17086</v>
      </c>
      <c r="C526" s="23">
        <f t="shared" si="31"/>
        <v>9.6919573091006038E-3</v>
      </c>
      <c r="E526" s="13">
        <v>9.14</v>
      </c>
      <c r="F526" s="13">
        <f t="shared" si="30"/>
        <v>8.8584489805179523E-2</v>
      </c>
    </row>
    <row r="527" spans="1:6" x14ac:dyDescent="0.25">
      <c r="A527" s="3" t="s">
        <v>477</v>
      </c>
      <c r="B527" s="10">
        <v>7286</v>
      </c>
      <c r="C527" s="23">
        <f t="shared" si="31"/>
        <v>4.1329510098388738E-3</v>
      </c>
      <c r="E527" s="13">
        <v>74.819999999999993</v>
      </c>
      <c r="F527" s="13">
        <f t="shared" si="30"/>
        <v>0.30922739455614451</v>
      </c>
    </row>
    <row r="528" spans="1:6" x14ac:dyDescent="0.25">
      <c r="A528" s="3" t="s">
        <v>478</v>
      </c>
      <c r="B528" s="10">
        <v>1049</v>
      </c>
      <c r="C528" s="23">
        <f t="shared" si="31"/>
        <v>5.9504057223730151E-4</v>
      </c>
      <c r="E528" s="13">
        <v>93.1</v>
      </c>
      <c r="F528" s="13">
        <f t="shared" si="30"/>
        <v>5.539827727529277E-2</v>
      </c>
    </row>
    <row r="529" spans="1:6" x14ac:dyDescent="0.25">
      <c r="A529" s="3" t="s">
        <v>479</v>
      </c>
      <c r="B529" s="10">
        <v>9330</v>
      </c>
      <c r="C529" s="23">
        <f t="shared" si="31"/>
        <v>5.2924008951134634E-3</v>
      </c>
      <c r="E529" s="13">
        <v>105.77</v>
      </c>
      <c r="F529" s="13">
        <f t="shared" si="30"/>
        <v>0.55977724267615103</v>
      </c>
    </row>
    <row r="530" spans="1:6" x14ac:dyDescent="0.25">
      <c r="A530" s="3" t="s">
        <v>480</v>
      </c>
      <c r="B530" s="10">
        <v>1220</v>
      </c>
      <c r="C530" s="23">
        <f t="shared" si="31"/>
        <v>6.9203955970401131E-4</v>
      </c>
      <c r="E530" s="13">
        <v>94.06</v>
      </c>
      <c r="F530" s="13">
        <f t="shared" si="30"/>
        <v>6.5093240985759304E-2</v>
      </c>
    </row>
    <row r="531" spans="1:6" x14ac:dyDescent="0.25">
      <c r="A531" s="3" t="s">
        <v>481</v>
      </c>
      <c r="B531" s="10">
        <v>10929</v>
      </c>
      <c r="C531" s="23">
        <f t="shared" si="31"/>
        <v>6.1994265147583107E-3</v>
      </c>
      <c r="E531" s="13">
        <v>24.65</v>
      </c>
      <c r="F531" s="13">
        <f t="shared" si="30"/>
        <v>0.15281586358879234</v>
      </c>
    </row>
    <row r="532" spans="1:6" x14ac:dyDescent="0.25">
      <c r="A532" s="3" t="s">
        <v>482</v>
      </c>
      <c r="B532" s="10">
        <v>15464</v>
      </c>
      <c r="C532" s="23">
        <f t="shared" si="31"/>
        <v>8.7718850420187133E-3</v>
      </c>
      <c r="E532" s="13">
        <v>49.63</v>
      </c>
      <c r="F532" s="13">
        <f t="shared" si="30"/>
        <v>0.43534865463538874</v>
      </c>
    </row>
    <row r="533" spans="1:6" x14ac:dyDescent="0.25">
      <c r="A533" s="3" t="s">
        <v>483</v>
      </c>
      <c r="B533" s="10">
        <v>9922</v>
      </c>
      <c r="C533" s="23">
        <f t="shared" si="31"/>
        <v>5.6282102552321312E-3</v>
      </c>
      <c r="E533" s="13">
        <v>71.52</v>
      </c>
      <c r="F533" s="13">
        <f t="shared" si="30"/>
        <v>0.40252959745420203</v>
      </c>
    </row>
    <row r="534" spans="1:6" x14ac:dyDescent="0.25">
      <c r="A534" s="3" t="s">
        <v>484</v>
      </c>
      <c r="B534" s="10">
        <v>15330</v>
      </c>
      <c r="C534" s="23">
        <f t="shared" si="31"/>
        <v>8.6958741395594206E-3</v>
      </c>
      <c r="E534" s="13">
        <v>35.880000000000003</v>
      </c>
      <c r="F534" s="13">
        <f t="shared" si="30"/>
        <v>0.31200796412739201</v>
      </c>
    </row>
    <row r="535" spans="1:6" x14ac:dyDescent="0.25">
      <c r="A535" s="3" t="s">
        <v>485</v>
      </c>
      <c r="B535" s="10">
        <v>17087</v>
      </c>
      <c r="C535" s="23">
        <f t="shared" si="31"/>
        <v>9.6925245546413442E-3</v>
      </c>
      <c r="E535" s="13">
        <v>26.08</v>
      </c>
      <c r="F535" s="13">
        <f t="shared" si="30"/>
        <v>0.25278104038504623</v>
      </c>
    </row>
    <row r="536" spans="1:6" x14ac:dyDescent="0.25">
      <c r="A536" s="3" t="s">
        <v>486</v>
      </c>
      <c r="B536" s="10">
        <v>5063</v>
      </c>
      <c r="C536" s="23">
        <f t="shared" si="31"/>
        <v>2.8719641727716467E-3</v>
      </c>
      <c r="E536" s="13">
        <v>23.99</v>
      </c>
      <c r="F536" s="13">
        <f t="shared" si="30"/>
        <v>6.8898420504791794E-2</v>
      </c>
    </row>
    <row r="537" spans="1:6" x14ac:dyDescent="0.25">
      <c r="A537" s="3" t="s">
        <v>487</v>
      </c>
      <c r="B537" s="10">
        <v>8646</v>
      </c>
      <c r="C537" s="23">
        <f t="shared" si="31"/>
        <v>4.9044049452466243E-3</v>
      </c>
      <c r="E537" s="13">
        <v>46.95</v>
      </c>
      <c r="F537" s="13">
        <f t="shared" si="30"/>
        <v>0.23026181217932903</v>
      </c>
    </row>
    <row r="538" spans="1:6" x14ac:dyDescent="0.25">
      <c r="A538" s="3" t="s">
        <v>488</v>
      </c>
      <c r="B538" s="10">
        <v>11739</v>
      </c>
      <c r="C538" s="23">
        <f t="shared" si="31"/>
        <v>6.6588954027585147E-3</v>
      </c>
      <c r="E538" s="13">
        <v>39.06</v>
      </c>
      <c r="F538" s="13">
        <f t="shared" si="30"/>
        <v>0.26009645443174761</v>
      </c>
    </row>
    <row r="539" spans="1:6" x14ac:dyDescent="0.25">
      <c r="A539" s="3" t="s">
        <v>489</v>
      </c>
      <c r="B539" s="10">
        <v>13247</v>
      </c>
      <c r="C539" s="23">
        <f t="shared" si="31"/>
        <v>7.5143016781959327E-3</v>
      </c>
      <c r="E539" s="13">
        <v>121.28</v>
      </c>
      <c r="F539" s="13">
        <f t="shared" si="30"/>
        <v>0.91133450753160272</v>
      </c>
    </row>
    <row r="540" spans="1:6" x14ac:dyDescent="0.25">
      <c r="A540" s="3" t="s">
        <v>490</v>
      </c>
      <c r="B540" s="10">
        <v>9492</v>
      </c>
      <c r="C540" s="23">
        <f t="shared" si="31"/>
        <v>5.3842946727135042E-3</v>
      </c>
      <c r="E540" s="13">
        <v>94.56</v>
      </c>
      <c r="F540" s="13">
        <f t="shared" si="30"/>
        <v>0.50913890425178898</v>
      </c>
    </row>
    <row r="541" spans="1:6" x14ac:dyDescent="0.25">
      <c r="A541" s="3" t="s">
        <v>491</v>
      </c>
      <c r="B541" s="10">
        <v>8545</v>
      </c>
      <c r="C541" s="23">
        <f t="shared" si="31"/>
        <v>4.8471131456317837E-3</v>
      </c>
      <c r="E541" s="13">
        <v>62.61</v>
      </c>
      <c r="F541" s="13">
        <f t="shared" si="30"/>
        <v>0.30347775404800598</v>
      </c>
    </row>
    <row r="542" spans="1:6" x14ac:dyDescent="0.25">
      <c r="A542" s="3" t="s">
        <v>492</v>
      </c>
      <c r="B542" s="10">
        <v>8824</v>
      </c>
      <c r="C542" s="23">
        <f t="shared" si="31"/>
        <v>5.0053746514985209E-3</v>
      </c>
      <c r="E542" s="13">
        <v>48.13</v>
      </c>
      <c r="F542" s="13">
        <f t="shared" si="30"/>
        <v>0.24090868197662382</v>
      </c>
    </row>
    <row r="543" spans="1:6" x14ac:dyDescent="0.25">
      <c r="A543" s="3" t="s">
        <v>493</v>
      </c>
      <c r="B543" s="10">
        <v>3065</v>
      </c>
      <c r="C543" s="23">
        <f t="shared" si="31"/>
        <v>1.7386075823711431E-3</v>
      </c>
      <c r="E543" s="13">
        <v>39</v>
      </c>
      <c r="F543" s="13">
        <f t="shared" si="30"/>
        <v>6.7805695712474578E-2</v>
      </c>
    </row>
    <row r="544" spans="1:6" x14ac:dyDescent="0.25">
      <c r="A544" s="3" t="s">
        <v>494</v>
      </c>
      <c r="B544" s="10">
        <v>2103</v>
      </c>
      <c r="C544" s="23">
        <f t="shared" si="31"/>
        <v>1.1929173721783079E-3</v>
      </c>
      <c r="E544" s="13">
        <v>10.55</v>
      </c>
      <c r="F544" s="13">
        <f t="shared" si="30"/>
        <v>1.2585278276481149E-2</v>
      </c>
    </row>
    <row r="545" spans="1:6" x14ac:dyDescent="0.25">
      <c r="A545" s="3" t="s">
        <v>495</v>
      </c>
      <c r="B545" s="10">
        <v>1334</v>
      </c>
      <c r="C545" s="23">
        <f t="shared" si="31"/>
        <v>7.5670555134848443E-4</v>
      </c>
      <c r="E545" s="13">
        <v>51.9</v>
      </c>
      <c r="F545" s="13">
        <f t="shared" si="30"/>
        <v>3.927301811498634E-2</v>
      </c>
    </row>
    <row r="546" spans="1:6" x14ac:dyDescent="0.25">
      <c r="A546" s="3" t="s">
        <v>496</v>
      </c>
      <c r="B546" s="10">
        <v>8941</v>
      </c>
      <c r="C546" s="23">
        <f t="shared" si="31"/>
        <v>5.0717423797652173E-3</v>
      </c>
      <c r="E546" s="13">
        <v>33.270000000000003</v>
      </c>
      <c r="F546" s="13">
        <f t="shared" si="30"/>
        <v>0.16873686897478879</v>
      </c>
    </row>
    <row r="547" spans="1:6" x14ac:dyDescent="0.25">
      <c r="A547" s="3" t="s">
        <v>497</v>
      </c>
      <c r="B547" s="10">
        <v>16024</v>
      </c>
      <c r="C547" s="23">
        <f t="shared" si="31"/>
        <v>9.0895425448336686E-3</v>
      </c>
      <c r="E547" s="13">
        <v>42.34</v>
      </c>
      <c r="F547" s="13">
        <f t="shared" si="30"/>
        <v>0.38485123134825755</v>
      </c>
    </row>
    <row r="548" spans="1:6" x14ac:dyDescent="0.25">
      <c r="A548" s="3" t="s">
        <v>498</v>
      </c>
      <c r="B548" s="10">
        <v>13993</v>
      </c>
      <c r="C548" s="23">
        <f t="shared" si="31"/>
        <v>7.9374668515887134E-3</v>
      </c>
      <c r="E548" s="13">
        <v>31.43</v>
      </c>
      <c r="F548" s="13">
        <f t="shared" si="30"/>
        <v>0.24947458314543325</v>
      </c>
    </row>
    <row r="549" spans="1:6" x14ac:dyDescent="0.25">
      <c r="A549" s="3" t="s">
        <v>499</v>
      </c>
      <c r="B549" s="10">
        <v>15515</v>
      </c>
      <c r="C549" s="23">
        <f t="shared" si="31"/>
        <v>8.8008145645965038E-3</v>
      </c>
      <c r="E549" s="13">
        <v>67.489999999999995</v>
      </c>
      <c r="F549" s="13">
        <f t="shared" si="30"/>
        <v>0.59396697496461803</v>
      </c>
    </row>
    <row r="550" spans="1:6" x14ac:dyDescent="0.25">
      <c r="A550" s="3" t="s">
        <v>500</v>
      </c>
      <c r="B550" s="10">
        <f>4682+B524</f>
        <v>8108</v>
      </c>
      <c r="C550" s="23">
        <f t="shared" si="31"/>
        <v>4.59922684432797E-3</v>
      </c>
      <c r="E550" s="13">
        <v>44.05</v>
      </c>
      <c r="F550" s="13">
        <f t="shared" si="30"/>
        <v>0.20259594249264706</v>
      </c>
    </row>
    <row r="551" spans="1:6" x14ac:dyDescent="0.25">
      <c r="A551" s="3" t="s">
        <v>501</v>
      </c>
      <c r="B551" s="10">
        <v>9317</v>
      </c>
      <c r="C551" s="23">
        <f t="shared" si="31"/>
        <v>5.2850267030838307E-3</v>
      </c>
      <c r="E551" s="13">
        <v>46.6</v>
      </c>
      <c r="F551" s="13">
        <f t="shared" si="30"/>
        <v>0.24628224436370652</v>
      </c>
    </row>
    <row r="552" spans="1:6" x14ac:dyDescent="0.25">
      <c r="A552" s="3" t="s">
        <v>502</v>
      </c>
      <c r="B552" s="10">
        <v>22531</v>
      </c>
      <c r="C552" s="23">
        <f t="shared" si="31"/>
        <v>1.278060927843531E-2</v>
      </c>
      <c r="E552" s="13">
        <v>47.85</v>
      </c>
      <c r="F552" s="13">
        <f t="shared" si="30"/>
        <v>0.61155215397312956</v>
      </c>
    </row>
    <row r="553" spans="1:6" x14ac:dyDescent="0.25">
      <c r="A553" s="3" t="s">
        <v>503</v>
      </c>
      <c r="B553" s="10">
        <v>6032</v>
      </c>
      <c r="C553" s="23">
        <f t="shared" si="31"/>
        <v>3.4216251017496688E-3</v>
      </c>
      <c r="E553" s="13">
        <v>48.48</v>
      </c>
      <c r="F553" s="13">
        <f t="shared" si="30"/>
        <v>0.16588038493282392</v>
      </c>
    </row>
    <row r="554" spans="1:6" x14ac:dyDescent="0.25">
      <c r="A554" s="3" t="s">
        <v>504</v>
      </c>
      <c r="B554" s="10">
        <v>19711</v>
      </c>
      <c r="C554" s="23">
        <f t="shared" si="31"/>
        <v>1.118097685354571E-2</v>
      </c>
      <c r="E554" s="13">
        <v>36.33</v>
      </c>
      <c r="F554" s="13">
        <f t="shared" si="30"/>
        <v>0.40620488908931562</v>
      </c>
    </row>
    <row r="555" spans="1:6" x14ac:dyDescent="0.25">
      <c r="A555" s="3" t="s">
        <v>505</v>
      </c>
      <c r="B555" s="10">
        <v>8018</v>
      </c>
      <c r="C555" s="23">
        <f t="shared" si="31"/>
        <v>4.5481747456612804E-3</v>
      </c>
      <c r="E555" s="13">
        <v>27.54</v>
      </c>
      <c r="F555" s="13">
        <f t="shared" si="30"/>
        <v>0.12525673249551167</v>
      </c>
    </row>
    <row r="556" spans="1:6" x14ac:dyDescent="0.25">
      <c r="A556" s="3" t="s">
        <v>506</v>
      </c>
      <c r="B556" s="10">
        <v>9965</v>
      </c>
      <c r="C556" s="23">
        <f t="shared" si="31"/>
        <v>5.6526018134839939E-3</v>
      </c>
      <c r="E556" s="13">
        <v>31.05</v>
      </c>
      <c r="F556" s="13">
        <f t="shared" si="30"/>
        <v>0.17551328630867802</v>
      </c>
    </row>
    <row r="557" spans="1:6" x14ac:dyDescent="0.25">
      <c r="A557" s="3" t="s">
        <v>507</v>
      </c>
      <c r="B557" s="10">
        <v>10546</v>
      </c>
      <c r="C557" s="23">
        <f t="shared" si="31"/>
        <v>5.9821714726545107E-3</v>
      </c>
      <c r="E557" s="13">
        <v>9.94</v>
      </c>
      <c r="F557" s="13">
        <f t="shared" si="30"/>
        <v>5.9462784438185833E-2</v>
      </c>
    </row>
    <row r="558" spans="1:6" x14ac:dyDescent="0.25">
      <c r="A558" s="3" t="s">
        <v>508</v>
      </c>
      <c r="B558" s="10">
        <v>21507</v>
      </c>
      <c r="C558" s="23">
        <f t="shared" si="31"/>
        <v>1.2199749844716534E-2</v>
      </c>
      <c r="E558" s="13">
        <v>8.9700000000000006</v>
      </c>
      <c r="F558" s="13">
        <f t="shared" si="30"/>
        <v>0.10943175610710731</v>
      </c>
    </row>
    <row r="559" spans="1:6" x14ac:dyDescent="0.25">
      <c r="A559" s="3" t="s">
        <v>509</v>
      </c>
      <c r="B559" s="10">
        <v>11908</v>
      </c>
      <c r="C559" s="23">
        <f t="shared" si="31"/>
        <v>6.7547598991437429E-3</v>
      </c>
      <c r="E559" s="13">
        <v>24.18</v>
      </c>
      <c r="F559" s="13">
        <f t="shared" si="30"/>
        <v>0.1633300943612957</v>
      </c>
    </row>
    <row r="560" spans="1:6" x14ac:dyDescent="0.25">
      <c r="A560" s="3" t="s">
        <v>510</v>
      </c>
      <c r="B560" s="10">
        <v>29743</v>
      </c>
      <c r="C560" s="23">
        <f t="shared" si="31"/>
        <v>1.6871584118259349E-2</v>
      </c>
      <c r="E560" s="13">
        <v>8.7200000000000006</v>
      </c>
      <c r="F560" s="13">
        <f t="shared" si="30"/>
        <v>0.14712021351122154</v>
      </c>
    </row>
    <row r="561" spans="1:6" x14ac:dyDescent="0.25">
      <c r="A561" s="3" t="s">
        <v>511</v>
      </c>
      <c r="B561" s="10">
        <v>2440</v>
      </c>
      <c r="C561" s="23">
        <f t="shared" si="31"/>
        <v>1.3840791194080226E-3</v>
      </c>
      <c r="E561" s="13">
        <v>21.53</v>
      </c>
      <c r="F561" s="13">
        <f t="shared" ref="F561:F593" si="32">E561*C561</f>
        <v>2.9799223440854727E-2</v>
      </c>
    </row>
    <row r="562" spans="1:6" x14ac:dyDescent="0.25">
      <c r="A562" s="3" t="s">
        <v>512</v>
      </c>
      <c r="B562" s="10">
        <v>11697</v>
      </c>
      <c r="C562" s="23">
        <f t="shared" ref="C562:C594" si="33">B562/B$594</f>
        <v>6.6350710900473934E-3</v>
      </c>
      <c r="E562" s="13">
        <v>39.020000000000003</v>
      </c>
      <c r="F562" s="13">
        <f t="shared" si="32"/>
        <v>0.25890047393364929</v>
      </c>
    </row>
    <row r="563" spans="1:6" x14ac:dyDescent="0.25">
      <c r="A563" s="3" t="s">
        <v>513</v>
      </c>
      <c r="B563" s="10">
        <v>9189</v>
      </c>
      <c r="C563" s="23">
        <f t="shared" si="33"/>
        <v>5.2124192738689833E-3</v>
      </c>
      <c r="E563" s="13">
        <v>48.89</v>
      </c>
      <c r="F563" s="13">
        <f t="shared" si="32"/>
        <v>0.25483517829945462</v>
      </c>
    </row>
    <row r="564" spans="1:6" x14ac:dyDescent="0.25">
      <c r="A564" s="3" t="s">
        <v>514</v>
      </c>
      <c r="B564" s="10">
        <v>17306</v>
      </c>
      <c r="C564" s="23">
        <f t="shared" si="33"/>
        <v>9.8167513280636217E-3</v>
      </c>
      <c r="E564" s="13">
        <v>36.479999999999997</v>
      </c>
      <c r="F564" s="13">
        <f t="shared" si="32"/>
        <v>0.35811508844776091</v>
      </c>
    </row>
    <row r="565" spans="1:6" x14ac:dyDescent="0.25">
      <c r="A565" s="3" t="s">
        <v>515</v>
      </c>
      <c r="B565" s="10">
        <v>8093</v>
      </c>
      <c r="C565" s="23">
        <f t="shared" si="33"/>
        <v>4.5907181612168555E-3</v>
      </c>
      <c r="E565" s="13">
        <v>31.72</v>
      </c>
      <c r="F565" s="13">
        <f t="shared" si="32"/>
        <v>0.14561758007379866</v>
      </c>
    </row>
    <row r="566" spans="1:6" x14ac:dyDescent="0.25">
      <c r="A566" s="3" t="s">
        <v>516</v>
      </c>
      <c r="B566" s="10">
        <v>11170</v>
      </c>
      <c r="C566" s="23">
        <f t="shared" si="33"/>
        <v>6.3361326900768901E-3</v>
      </c>
      <c r="E566" s="13">
        <v>17.53</v>
      </c>
      <c r="F566" s="13">
        <f t="shared" si="32"/>
        <v>0.11107240605704789</v>
      </c>
    </row>
    <row r="567" spans="1:6" x14ac:dyDescent="0.25">
      <c r="A567" s="3" t="s">
        <v>517</v>
      </c>
      <c r="B567" s="10">
        <v>9003</v>
      </c>
      <c r="C567" s="23">
        <f t="shared" si="33"/>
        <v>5.1069116032911588E-3</v>
      </c>
      <c r="E567" s="13">
        <v>29.55</v>
      </c>
      <c r="F567" s="13">
        <f t="shared" si="32"/>
        <v>0.15090923787725374</v>
      </c>
    </row>
    <row r="568" spans="1:6" x14ac:dyDescent="0.25">
      <c r="A568" s="3" t="s">
        <v>518</v>
      </c>
      <c r="B568" s="10">
        <v>11638</v>
      </c>
      <c r="C568" s="23">
        <f t="shared" si="33"/>
        <v>6.6016036031436749E-3</v>
      </c>
      <c r="E568" s="13">
        <v>21.84</v>
      </c>
      <c r="F568" s="13">
        <f t="shared" si="32"/>
        <v>0.14417902269265787</v>
      </c>
    </row>
    <row r="569" spans="1:6" x14ac:dyDescent="0.25">
      <c r="A569" s="3" t="s">
        <v>519</v>
      </c>
      <c r="B569" s="10">
        <v>8850</v>
      </c>
      <c r="C569" s="23">
        <f t="shared" si="33"/>
        <v>5.0201230355577863E-3</v>
      </c>
      <c r="E569" s="13">
        <v>31.91</v>
      </c>
      <c r="F569" s="13">
        <f t="shared" si="32"/>
        <v>0.16019212606464897</v>
      </c>
    </row>
    <row r="570" spans="1:6" x14ac:dyDescent="0.25">
      <c r="A570" s="3" t="s">
        <v>520</v>
      </c>
      <c r="B570" s="10">
        <v>18865</v>
      </c>
      <c r="C570" s="23">
        <f t="shared" si="33"/>
        <v>1.0701087126078829E-2</v>
      </c>
      <c r="E570" s="13">
        <v>36.76</v>
      </c>
      <c r="F570" s="13">
        <f t="shared" si="32"/>
        <v>0.39337196275465774</v>
      </c>
    </row>
    <row r="571" spans="1:6" x14ac:dyDescent="0.25">
      <c r="A571" s="3" t="s">
        <v>521</v>
      </c>
      <c r="B571" s="10">
        <v>13036</v>
      </c>
      <c r="C571" s="23">
        <f t="shared" si="33"/>
        <v>7.3946128690995832E-3</v>
      </c>
      <c r="E571" s="13">
        <v>24.01</v>
      </c>
      <c r="F571" s="13">
        <f t="shared" si="32"/>
        <v>0.177544654987081</v>
      </c>
    </row>
    <row r="572" spans="1:6" x14ac:dyDescent="0.25">
      <c r="A572" s="3" t="s">
        <v>522</v>
      </c>
      <c r="B572" s="10">
        <v>14878</v>
      </c>
      <c r="C572" s="23">
        <f t="shared" si="33"/>
        <v>8.4394791551444925E-3</v>
      </c>
      <c r="E572" s="13">
        <v>37.06</v>
      </c>
      <c r="F572" s="13">
        <f t="shared" si="32"/>
        <v>0.31276709748965492</v>
      </c>
    </row>
    <row r="573" spans="1:6" x14ac:dyDescent="0.25">
      <c r="A573" s="3" t="s">
        <v>523</v>
      </c>
      <c r="B573" s="10">
        <v>15272</v>
      </c>
      <c r="C573" s="23">
        <f t="shared" si="33"/>
        <v>8.6629738981964435E-3</v>
      </c>
      <c r="E573" s="13">
        <v>25.32</v>
      </c>
      <c r="F573" s="13">
        <f t="shared" si="32"/>
        <v>0.21934649910233395</v>
      </c>
    </row>
    <row r="574" spans="1:6" x14ac:dyDescent="0.25">
      <c r="A574" s="3" t="s">
        <v>524</v>
      </c>
      <c r="B574" s="10">
        <v>19137</v>
      </c>
      <c r="C574" s="23">
        <f t="shared" si="33"/>
        <v>1.085537791316038E-2</v>
      </c>
      <c r="E574" s="13">
        <v>29.13</v>
      </c>
      <c r="F574" s="13">
        <f t="shared" si="32"/>
        <v>0.31621715861036187</v>
      </c>
    </row>
    <row r="575" spans="1:6" x14ac:dyDescent="0.25">
      <c r="A575" s="3" t="s">
        <v>525</v>
      </c>
      <c r="B575" s="10">
        <v>24485</v>
      </c>
      <c r="C575" s="23">
        <f t="shared" si="33"/>
        <v>1.388900706504321E-2</v>
      </c>
      <c r="E575" s="13">
        <v>40.99</v>
      </c>
      <c r="F575" s="13">
        <f t="shared" si="32"/>
        <v>0.56931039959612117</v>
      </c>
    </row>
    <row r="576" spans="1:6" x14ac:dyDescent="0.25">
      <c r="A576" s="3" t="s">
        <v>526</v>
      </c>
      <c r="B576" s="10">
        <v>8607</v>
      </c>
      <c r="C576" s="23">
        <f t="shared" si="33"/>
        <v>4.8822823691577252E-3</v>
      </c>
      <c r="E576" s="13">
        <v>65.77</v>
      </c>
      <c r="F576" s="13">
        <f t="shared" si="32"/>
        <v>0.32110771141950356</v>
      </c>
    </row>
    <row r="577" spans="1:6" x14ac:dyDescent="0.25">
      <c r="A577" s="3" t="s">
        <v>527</v>
      </c>
      <c r="B577" s="10">
        <v>25832</v>
      </c>
      <c r="C577" s="23">
        <f t="shared" si="33"/>
        <v>1.4653086808421327E-2</v>
      </c>
      <c r="E577" s="13">
        <v>14.02</v>
      </c>
      <c r="F577" s="13">
        <f t="shared" si="32"/>
        <v>0.205436277054067</v>
      </c>
    </row>
    <row r="578" spans="1:6" x14ac:dyDescent="0.25">
      <c r="A578" s="3" t="s">
        <v>528</v>
      </c>
      <c r="B578" s="10">
        <v>6377</v>
      </c>
      <c r="C578" s="23">
        <f t="shared" si="33"/>
        <v>3.6173248133053114E-3</v>
      </c>
      <c r="E578" s="13">
        <v>34.97</v>
      </c>
      <c r="F578" s="13">
        <f t="shared" si="32"/>
        <v>0.12649784872128675</v>
      </c>
    </row>
    <row r="579" spans="1:6" x14ac:dyDescent="0.25">
      <c r="A579" s="3" t="s">
        <v>529</v>
      </c>
      <c r="B579" s="10">
        <v>11910</v>
      </c>
      <c r="C579" s="23">
        <f t="shared" si="33"/>
        <v>6.7558943902252247E-3</v>
      </c>
      <c r="E579" s="13">
        <v>23.39</v>
      </c>
      <c r="F579" s="13">
        <f t="shared" si="32"/>
        <v>0.158020369787368</v>
      </c>
    </row>
    <row r="580" spans="1:6" x14ac:dyDescent="0.25">
      <c r="A580" s="3" t="s">
        <v>530</v>
      </c>
      <c r="B580" s="10">
        <v>11345</v>
      </c>
      <c r="C580" s="23">
        <f t="shared" si="33"/>
        <v>6.4354006597065637E-3</v>
      </c>
      <c r="E580" s="13">
        <v>20.95</v>
      </c>
      <c r="F580" s="13">
        <f t="shared" si="32"/>
        <v>0.13482164382085252</v>
      </c>
    </row>
    <row r="581" spans="1:6" x14ac:dyDescent="0.25">
      <c r="A581" s="3" t="s">
        <v>531</v>
      </c>
      <c r="B581" s="10">
        <v>9376</v>
      </c>
      <c r="C581" s="23">
        <f t="shared" si="33"/>
        <v>5.3184941899875491E-3</v>
      </c>
      <c r="E581" s="13">
        <v>40.229999999999997</v>
      </c>
      <c r="F581" s="13">
        <f t="shared" si="32"/>
        <v>0.21396302126319908</v>
      </c>
    </row>
    <row r="582" spans="1:6" x14ac:dyDescent="0.25">
      <c r="A582" s="3" t="s">
        <v>532</v>
      </c>
      <c r="B582" s="10">
        <v>9026</v>
      </c>
      <c r="C582" s="23">
        <f t="shared" si="33"/>
        <v>5.1199582507282012E-3</v>
      </c>
      <c r="E582" s="13">
        <v>29.79</v>
      </c>
      <c r="F582" s="13">
        <f t="shared" si="32"/>
        <v>0.15252355628919312</v>
      </c>
    </row>
    <row r="583" spans="1:6" x14ac:dyDescent="0.25">
      <c r="A583" s="3" t="s">
        <v>533</v>
      </c>
      <c r="B583" s="10">
        <v>9905</v>
      </c>
      <c r="C583" s="23">
        <f t="shared" si="33"/>
        <v>5.6185670810395341E-3</v>
      </c>
      <c r="E583" s="13">
        <v>30.95</v>
      </c>
      <c r="F583" s="13">
        <f t="shared" si="32"/>
        <v>0.17389465115817357</v>
      </c>
    </row>
    <row r="584" spans="1:6" x14ac:dyDescent="0.25">
      <c r="A584" s="3" t="s">
        <v>534</v>
      </c>
      <c r="B584" s="10">
        <v>1463</v>
      </c>
      <c r="C584" s="23">
        <f t="shared" si="33"/>
        <v>8.2988022610407249E-4</v>
      </c>
      <c r="E584" s="13">
        <v>56.93</v>
      </c>
      <c r="F584" s="13">
        <f t="shared" si="32"/>
        <v>4.7245081272104847E-2</v>
      </c>
    </row>
    <row r="585" spans="1:6" x14ac:dyDescent="0.25">
      <c r="A585" s="3" t="s">
        <v>535</v>
      </c>
      <c r="B585" s="10">
        <v>8433</v>
      </c>
      <c r="C585" s="23">
        <f t="shared" si="33"/>
        <v>4.7835816450687929E-3</v>
      </c>
      <c r="E585" s="13">
        <v>37.36</v>
      </c>
      <c r="F585" s="13">
        <f t="shared" si="32"/>
        <v>0.17871461025977009</v>
      </c>
    </row>
    <row r="586" spans="1:6" x14ac:dyDescent="0.25">
      <c r="A586" s="3" t="s">
        <v>536</v>
      </c>
      <c r="B586" s="10">
        <v>11357</v>
      </c>
      <c r="C586" s="23">
        <f t="shared" si="33"/>
        <v>6.442207606195456E-3</v>
      </c>
      <c r="E586" s="13">
        <v>32.46</v>
      </c>
      <c r="F586" s="13">
        <f t="shared" si="32"/>
        <v>0.20911405889710449</v>
      </c>
    </row>
    <row r="587" spans="1:6" x14ac:dyDescent="0.25">
      <c r="A587" s="3" t="s">
        <v>537</v>
      </c>
      <c r="B587" s="10">
        <v>10251</v>
      </c>
      <c r="C587" s="23">
        <f t="shared" si="33"/>
        <v>5.8148340381359177E-3</v>
      </c>
      <c r="E587" s="13">
        <v>47.78</v>
      </c>
      <c r="F587" s="13">
        <f t="shared" si="32"/>
        <v>0.27783277034213416</v>
      </c>
    </row>
    <row r="588" spans="1:6" x14ac:dyDescent="0.25">
      <c r="A588" s="3" t="s">
        <v>538</v>
      </c>
      <c r="B588" s="10">
        <v>13465</v>
      </c>
      <c r="C588" s="23">
        <f t="shared" si="33"/>
        <v>7.6379612060774689E-3</v>
      </c>
      <c r="E588" s="13">
        <v>42.52</v>
      </c>
      <c r="F588" s="13">
        <f t="shared" si="32"/>
        <v>0.32476611048241399</v>
      </c>
    </row>
    <row r="589" spans="1:6" x14ac:dyDescent="0.25">
      <c r="A589" s="3" t="s">
        <v>539</v>
      </c>
      <c r="B589" s="10">
        <v>11860</v>
      </c>
      <c r="C589" s="23">
        <f t="shared" si="33"/>
        <v>6.7275321131881755E-3</v>
      </c>
      <c r="E589" s="13">
        <v>45.68</v>
      </c>
      <c r="F589" s="13">
        <f t="shared" si="32"/>
        <v>0.30731366693043588</v>
      </c>
    </row>
    <row r="590" spans="1:6" x14ac:dyDescent="0.25">
      <c r="A590" s="3" t="s">
        <v>540</v>
      </c>
      <c r="B590" s="10">
        <v>13472</v>
      </c>
      <c r="C590" s="23">
        <f t="shared" si="33"/>
        <v>7.6419319248626555E-3</v>
      </c>
      <c r="E590" s="13">
        <v>33.67</v>
      </c>
      <c r="F590" s="13">
        <f t="shared" si="32"/>
        <v>0.25730384791012562</v>
      </c>
    </row>
    <row r="591" spans="1:6" x14ac:dyDescent="0.25">
      <c r="A591" s="3" t="s">
        <v>541</v>
      </c>
      <c r="B591" s="10">
        <v>12499</v>
      </c>
      <c r="C591" s="23">
        <f t="shared" si="33"/>
        <v>7.0900020137216694E-3</v>
      </c>
      <c r="E591" s="13">
        <v>69.069999999999993</v>
      </c>
      <c r="F591" s="13">
        <f t="shared" si="32"/>
        <v>0.48970643908775563</v>
      </c>
    </row>
    <row r="592" spans="1:6" x14ac:dyDescent="0.25">
      <c r="A592" s="3" t="s">
        <v>542</v>
      </c>
      <c r="B592" s="10">
        <v>14684</v>
      </c>
      <c r="C592" s="23">
        <f t="shared" si="33"/>
        <v>8.3294335202407383E-3</v>
      </c>
      <c r="E592" s="13">
        <v>37.979999999999997</v>
      </c>
      <c r="F592" s="13">
        <f t="shared" si="32"/>
        <v>0.31635188509874324</v>
      </c>
    </row>
    <row r="593" spans="1:6" x14ac:dyDescent="0.25">
      <c r="A593" s="3" t="s">
        <v>543</v>
      </c>
      <c r="B593" s="10">
        <v>17284</v>
      </c>
      <c r="C593" s="23">
        <f t="shared" si="33"/>
        <v>9.8042719261673197E-3</v>
      </c>
      <c r="E593" s="13">
        <v>42.77</v>
      </c>
      <c r="F593" s="13">
        <f t="shared" si="32"/>
        <v>0.41932871028217628</v>
      </c>
    </row>
    <row r="594" spans="1:6" x14ac:dyDescent="0.25">
      <c r="A594" s="20" t="s">
        <v>0</v>
      </c>
      <c r="B594" s="21">
        <f>SUM(B497:B593)-B524</f>
        <v>1762905</v>
      </c>
      <c r="C594" s="25">
        <f t="shared" si="33"/>
        <v>1</v>
      </c>
      <c r="D594" s="25"/>
      <c r="E594" s="25"/>
      <c r="F594" s="19">
        <f>SUM(F497:F593)</f>
        <v>31.343182990575212</v>
      </c>
    </row>
    <row r="597" spans="1:6" x14ac:dyDescent="0.25">
      <c r="A597" s="9" t="s">
        <v>953</v>
      </c>
    </row>
    <row r="598" spans="1:6" x14ac:dyDescent="0.25">
      <c r="A598" s="3" t="s">
        <v>544</v>
      </c>
      <c r="B598" s="10">
        <v>181959</v>
      </c>
      <c r="C598" s="23">
        <f>B598/B$650</f>
        <v>0.18330334674502805</v>
      </c>
      <c r="E598" s="13">
        <v>15.41</v>
      </c>
      <c r="F598" s="13">
        <f t="shared" ref="F598:F649" si="34">E598*C598</f>
        <v>2.824704573340882</v>
      </c>
    </row>
    <row r="599" spans="1:6" x14ac:dyDescent="0.25">
      <c r="A599" s="3" t="s">
        <v>545</v>
      </c>
      <c r="B599" s="10">
        <v>9958</v>
      </c>
      <c r="C599" s="23">
        <f>B599/B$650</f>
        <v>1.0031571545716282E-2</v>
      </c>
      <c r="E599" s="13">
        <v>17.11</v>
      </c>
      <c r="F599" s="13">
        <f t="shared" si="34"/>
        <v>0.17164018914720558</v>
      </c>
    </row>
    <row r="600" spans="1:6" x14ac:dyDescent="0.25">
      <c r="A600" s="3" t="s">
        <v>546</v>
      </c>
      <c r="B600" s="10">
        <v>7939</v>
      </c>
      <c r="C600" s="23">
        <f>B600/B$650</f>
        <v>7.9976548003054398E-3</v>
      </c>
      <c r="E600" s="13">
        <v>31.45</v>
      </c>
      <c r="F600" s="13">
        <f t="shared" si="34"/>
        <v>0.25152624346960606</v>
      </c>
    </row>
    <row r="601" spans="1:6" x14ac:dyDescent="0.25">
      <c r="A601" s="3" t="s">
        <v>547</v>
      </c>
      <c r="B601" s="10">
        <v>18138</v>
      </c>
      <c r="C601" s="23">
        <f>B601/B$650</f>
        <v>1.827200689859429E-2</v>
      </c>
      <c r="E601" s="13">
        <v>30.28</v>
      </c>
      <c r="F601" s="13">
        <f t="shared" si="34"/>
        <v>0.5532763688894351</v>
      </c>
    </row>
    <row r="602" spans="1:6" x14ac:dyDescent="0.25">
      <c r="A602" s="3" t="s">
        <v>548</v>
      </c>
      <c r="B602" s="10">
        <v>10747</v>
      </c>
      <c r="C602" s="23">
        <f>B602/B$650</f>
        <v>1.0826400823640579E-2</v>
      </c>
      <c r="E602" s="13">
        <v>28.83</v>
      </c>
      <c r="F602" s="13">
        <f t="shared" si="34"/>
        <v>0.31212513574555789</v>
      </c>
    </row>
    <row r="603" spans="1:6" x14ac:dyDescent="0.25">
      <c r="A603" s="3" t="s">
        <v>549</v>
      </c>
      <c r="B603" s="10">
        <v>18295</v>
      </c>
      <c r="C603" s="23">
        <f t="shared" ref="C603:C650" si="35">B603/B$650</f>
        <v>1.8430166843631191E-2</v>
      </c>
      <c r="E603" s="13">
        <v>19.579999999999998</v>
      </c>
      <c r="F603" s="13">
        <f t="shared" si="34"/>
        <v>0.3608626667982987</v>
      </c>
    </row>
    <row r="604" spans="1:6" x14ac:dyDescent="0.25">
      <c r="A604" s="3" t="s">
        <v>550</v>
      </c>
      <c r="B604" s="10">
        <v>12907</v>
      </c>
      <c r="C604" s="23">
        <f t="shared" si="35"/>
        <v>1.300235930312915E-2</v>
      </c>
      <c r="E604" s="13">
        <v>25.61</v>
      </c>
      <c r="F604" s="13">
        <f t="shared" si="34"/>
        <v>0.33299042175313753</v>
      </c>
    </row>
    <row r="605" spans="1:6" x14ac:dyDescent="0.25">
      <c r="A605" s="3" t="s">
        <v>551</v>
      </c>
      <c r="B605" s="10">
        <v>14360</v>
      </c>
      <c r="C605" s="23">
        <f t="shared" si="35"/>
        <v>1.4466094335859192E-2</v>
      </c>
      <c r="E605" s="13">
        <v>29.66</v>
      </c>
      <c r="F605" s="13">
        <f t="shared" si="34"/>
        <v>0.4290643580015836</v>
      </c>
    </row>
    <row r="606" spans="1:6" x14ac:dyDescent="0.25">
      <c r="A606" s="3" t="s">
        <v>552</v>
      </c>
      <c r="B606" s="10">
        <v>16353</v>
      </c>
      <c r="C606" s="23">
        <f t="shared" si="35"/>
        <v>1.6473818988461376E-2</v>
      </c>
      <c r="E606" s="13">
        <v>22.38</v>
      </c>
      <c r="F606" s="13">
        <f t="shared" si="34"/>
        <v>0.36868406896176559</v>
      </c>
    </row>
    <row r="607" spans="1:6" x14ac:dyDescent="0.25">
      <c r="A607" s="3" t="s">
        <v>553</v>
      </c>
      <c r="B607" s="10">
        <v>40192</v>
      </c>
      <c r="C607" s="23">
        <f t="shared" si="35"/>
        <v>4.048894592944656E-2</v>
      </c>
      <c r="E607" s="13">
        <v>13.11</v>
      </c>
      <c r="F607" s="13">
        <f t="shared" si="34"/>
        <v>0.53081008113504435</v>
      </c>
    </row>
    <row r="608" spans="1:6" x14ac:dyDescent="0.25">
      <c r="A608" s="3" t="s">
        <v>554</v>
      </c>
      <c r="B608" s="10">
        <v>14928</v>
      </c>
      <c r="C608" s="23">
        <f t="shared" si="35"/>
        <v>1.503829082490989E-2</v>
      </c>
      <c r="E608" s="13">
        <v>25.09</v>
      </c>
      <c r="F608" s="13">
        <f t="shared" si="34"/>
        <v>0.37731071679698913</v>
      </c>
    </row>
    <row r="609" spans="1:6" x14ac:dyDescent="0.25">
      <c r="A609" s="3" t="s">
        <v>555</v>
      </c>
      <c r="B609" s="10">
        <v>16133</v>
      </c>
      <c r="C609" s="23">
        <f t="shared" si="35"/>
        <v>1.6252193587772724E-2</v>
      </c>
      <c r="E609" s="13">
        <v>26.37</v>
      </c>
      <c r="F609" s="13">
        <f t="shared" si="34"/>
        <v>0.42857034490956675</v>
      </c>
    </row>
    <row r="610" spans="1:6" x14ac:dyDescent="0.25">
      <c r="A610" s="3" t="s">
        <v>556</v>
      </c>
      <c r="B610" s="10">
        <v>30051</v>
      </c>
      <c r="C610" s="23">
        <f t="shared" si="35"/>
        <v>3.0273022345884717E-2</v>
      </c>
      <c r="E610" s="13">
        <v>12.97</v>
      </c>
      <c r="F610" s="13">
        <f t="shared" si="34"/>
        <v>0.39264109982612477</v>
      </c>
    </row>
    <row r="611" spans="1:6" x14ac:dyDescent="0.25">
      <c r="A611" s="3" t="s">
        <v>557</v>
      </c>
      <c r="B611" s="10">
        <v>12082</v>
      </c>
      <c r="C611" s="23">
        <f t="shared" si="35"/>
        <v>1.217126405054671E-2</v>
      </c>
      <c r="E611" s="13">
        <v>26.48</v>
      </c>
      <c r="F611" s="13">
        <f t="shared" si="34"/>
        <v>0.32229507205847691</v>
      </c>
    </row>
    <row r="612" spans="1:6" x14ac:dyDescent="0.25">
      <c r="A612" s="3" t="s">
        <v>558</v>
      </c>
      <c r="B612" s="10">
        <v>8992</v>
      </c>
      <c r="C612" s="23">
        <f t="shared" si="35"/>
        <v>9.058434559056118E-3</v>
      </c>
      <c r="E612" s="13">
        <v>43.36</v>
      </c>
      <c r="F612" s="13">
        <f t="shared" si="34"/>
        <v>0.39277372248067327</v>
      </c>
    </row>
    <row r="613" spans="1:6" x14ac:dyDescent="0.25">
      <c r="A613" s="3" t="s">
        <v>559</v>
      </c>
      <c r="B613" s="10">
        <v>15885</v>
      </c>
      <c r="C613" s="23">
        <f t="shared" si="35"/>
        <v>1.6002361317905518E-2</v>
      </c>
      <c r="E613" s="13">
        <v>16.63</v>
      </c>
      <c r="F613" s="13">
        <f t="shared" si="34"/>
        <v>0.26611926871676872</v>
      </c>
    </row>
    <row r="614" spans="1:6" x14ac:dyDescent="0.25">
      <c r="A614" s="3" t="s">
        <v>560</v>
      </c>
      <c r="B614" s="10">
        <v>6354</v>
      </c>
      <c r="C614" s="23">
        <f t="shared" si="35"/>
        <v>6.4009445271622075E-3</v>
      </c>
      <c r="E614" s="13">
        <v>24.11</v>
      </c>
      <c r="F614" s="13">
        <f t="shared" si="34"/>
        <v>0.15432677254988081</v>
      </c>
    </row>
    <row r="615" spans="1:6" x14ac:dyDescent="0.25">
      <c r="A615" s="3" t="s">
        <v>561</v>
      </c>
      <c r="B615" s="10">
        <v>16565</v>
      </c>
      <c r="C615" s="23">
        <f t="shared" si="35"/>
        <v>1.668738528367044E-2</v>
      </c>
      <c r="E615" s="13">
        <v>30.36</v>
      </c>
      <c r="F615" s="13">
        <f t="shared" si="34"/>
        <v>0.50662901721223452</v>
      </c>
    </row>
    <row r="616" spans="1:6" x14ac:dyDescent="0.25">
      <c r="A616" s="3" t="s">
        <v>562</v>
      </c>
      <c r="B616" s="10">
        <v>15998</v>
      </c>
      <c r="C616" s="23">
        <f t="shared" si="35"/>
        <v>1.6116196182804691E-2</v>
      </c>
      <c r="E616" s="13">
        <v>29.42</v>
      </c>
      <c r="F616" s="13">
        <f t="shared" si="34"/>
        <v>0.47413849169811401</v>
      </c>
    </row>
    <row r="617" spans="1:6" x14ac:dyDescent="0.25">
      <c r="A617" s="3" t="s">
        <v>563</v>
      </c>
      <c r="B617" s="10">
        <v>9843</v>
      </c>
      <c r="C617" s="23">
        <f t="shared" si="35"/>
        <v>9.9157219044472156E-3</v>
      </c>
      <c r="E617" s="13">
        <v>23.61</v>
      </c>
      <c r="F617" s="13">
        <f t="shared" si="34"/>
        <v>0.23411019416399875</v>
      </c>
    </row>
    <row r="618" spans="1:6" x14ac:dyDescent="0.25">
      <c r="A618" s="3" t="s">
        <v>564</v>
      </c>
      <c r="B618" s="10">
        <v>46882</v>
      </c>
      <c r="C618" s="23">
        <f t="shared" si="35"/>
        <v>4.7228372886751434E-2</v>
      </c>
      <c r="E618" s="13">
        <v>9.9600000000000009</v>
      </c>
      <c r="F618" s="13">
        <f t="shared" si="34"/>
        <v>0.4703945939520443</v>
      </c>
    </row>
    <row r="619" spans="1:6" x14ac:dyDescent="0.25">
      <c r="A619" s="3" t="s">
        <v>565</v>
      </c>
      <c r="B619" s="10">
        <v>14543</v>
      </c>
      <c r="C619" s="23">
        <f t="shared" si="35"/>
        <v>1.465044637370475E-2</v>
      </c>
      <c r="E619" s="13">
        <v>22.86</v>
      </c>
      <c r="F619" s="13">
        <f t="shared" si="34"/>
        <v>0.3349092041028906</v>
      </c>
    </row>
    <row r="620" spans="1:6" x14ac:dyDescent="0.25">
      <c r="A620" s="3" t="s">
        <v>566</v>
      </c>
      <c r="B620" s="10">
        <v>15655</v>
      </c>
      <c r="C620" s="23">
        <f t="shared" si="35"/>
        <v>1.5770662035367384E-2</v>
      </c>
      <c r="E620" s="13">
        <v>14.37</v>
      </c>
      <c r="F620" s="13">
        <f t="shared" si="34"/>
        <v>0.22662441344822928</v>
      </c>
    </row>
    <row r="621" spans="1:6" x14ac:dyDescent="0.25">
      <c r="A621" s="3" t="s">
        <v>567</v>
      </c>
      <c r="B621" s="10">
        <v>12797</v>
      </c>
      <c r="C621" s="23">
        <f t="shared" si="35"/>
        <v>1.2891546602784824E-2</v>
      </c>
      <c r="E621" s="13">
        <v>14.23</v>
      </c>
      <c r="F621" s="13">
        <f t="shared" si="34"/>
        <v>0.18344670815762806</v>
      </c>
    </row>
    <row r="622" spans="1:6" x14ac:dyDescent="0.25">
      <c r="A622" s="3" t="s">
        <v>568</v>
      </c>
      <c r="B622" s="10">
        <v>19989</v>
      </c>
      <c r="C622" s="23">
        <f t="shared" si="35"/>
        <v>2.0136682428933801E-2</v>
      </c>
      <c r="E622" s="13">
        <v>10.6</v>
      </c>
      <c r="F622" s="13">
        <f t="shared" si="34"/>
        <v>0.21344883374669829</v>
      </c>
    </row>
    <row r="623" spans="1:6" x14ac:dyDescent="0.25">
      <c r="A623" s="3" t="s">
        <v>569</v>
      </c>
      <c r="B623" s="10">
        <v>19095</v>
      </c>
      <c r="C623" s="23">
        <f t="shared" si="35"/>
        <v>1.9236077391589921E-2</v>
      </c>
      <c r="E623" s="13">
        <v>16.34</v>
      </c>
      <c r="F623" s="13">
        <f t="shared" si="34"/>
        <v>0.31431750457857932</v>
      </c>
    </row>
    <row r="624" spans="1:6" x14ac:dyDescent="0.25">
      <c r="A624" s="3" t="s">
        <v>570</v>
      </c>
      <c r="B624" s="10">
        <v>9100</v>
      </c>
      <c r="C624" s="23">
        <f t="shared" si="35"/>
        <v>9.1672324830305452E-3</v>
      </c>
      <c r="E624" s="13">
        <v>19.41</v>
      </c>
      <c r="F624" s="13">
        <f t="shared" si="34"/>
        <v>0.1779359824956229</v>
      </c>
    </row>
    <row r="625" spans="1:6" x14ac:dyDescent="0.25">
      <c r="A625" s="3" t="s">
        <v>571</v>
      </c>
      <c r="B625" s="10">
        <v>14349</v>
      </c>
      <c r="C625" s="23">
        <f t="shared" si="35"/>
        <v>1.4455013065824758E-2</v>
      </c>
      <c r="E625" s="13">
        <v>26.68</v>
      </c>
      <c r="F625" s="13">
        <f t="shared" si="34"/>
        <v>0.38565974859620455</v>
      </c>
    </row>
    <row r="626" spans="1:6" x14ac:dyDescent="0.25">
      <c r="A626" s="3" t="s">
        <v>572</v>
      </c>
      <c r="B626" s="10">
        <v>34717</v>
      </c>
      <c r="C626" s="23">
        <f t="shared" si="35"/>
        <v>3.4973495616854006E-2</v>
      </c>
      <c r="E626" s="13">
        <v>17.010000000000002</v>
      </c>
      <c r="F626" s="13">
        <f t="shared" si="34"/>
        <v>0.59489916044268665</v>
      </c>
    </row>
    <row r="627" spans="1:6" x14ac:dyDescent="0.25">
      <c r="A627" s="3" t="s">
        <v>573</v>
      </c>
      <c r="B627" s="10">
        <v>13302</v>
      </c>
      <c r="C627" s="23">
        <f t="shared" si="35"/>
        <v>1.3400277636183771E-2</v>
      </c>
      <c r="E627" s="13">
        <v>26.25</v>
      </c>
      <c r="F627" s="13">
        <f t="shared" si="34"/>
        <v>0.35175728794982397</v>
      </c>
    </row>
    <row r="628" spans="1:6" x14ac:dyDescent="0.25">
      <c r="A628" s="3" t="s">
        <v>574</v>
      </c>
      <c r="B628" s="10">
        <v>16301</v>
      </c>
      <c r="C628" s="23">
        <f t="shared" si="35"/>
        <v>1.6421434802844057E-2</v>
      </c>
      <c r="E628" s="13">
        <v>32.85</v>
      </c>
      <c r="F628" s="13">
        <f t="shared" si="34"/>
        <v>0.53944413327342733</v>
      </c>
    </row>
    <row r="629" spans="1:6" x14ac:dyDescent="0.25">
      <c r="A629" s="3" t="s">
        <v>575</v>
      </c>
      <c r="B629" s="10">
        <v>17309</v>
      </c>
      <c r="C629" s="23">
        <f t="shared" si="35"/>
        <v>1.7436882093272058E-2</v>
      </c>
      <c r="E629" s="13">
        <v>27.98</v>
      </c>
      <c r="F629" s="13">
        <f t="shared" si="34"/>
        <v>0.48788396096975217</v>
      </c>
    </row>
    <row r="630" spans="1:6" x14ac:dyDescent="0.25">
      <c r="A630" s="3" t="s">
        <v>576</v>
      </c>
      <c r="B630" s="10">
        <v>11564</v>
      </c>
      <c r="C630" s="23">
        <f t="shared" si="35"/>
        <v>1.1649436970743433E-2</v>
      </c>
      <c r="E630" s="13">
        <v>35.590000000000003</v>
      </c>
      <c r="F630" s="13">
        <f t="shared" si="34"/>
        <v>0.41460346178875879</v>
      </c>
    </row>
    <row r="631" spans="1:6" x14ac:dyDescent="0.25">
      <c r="A631" s="3" t="s">
        <v>577</v>
      </c>
      <c r="B631" s="10">
        <v>17016</v>
      </c>
      <c r="C631" s="23">
        <f t="shared" si="35"/>
        <v>1.7141717355082173E-2</v>
      </c>
      <c r="E631" s="13">
        <v>24.55</v>
      </c>
      <c r="F631" s="13">
        <f t="shared" si="34"/>
        <v>0.42082916106726737</v>
      </c>
    </row>
    <row r="632" spans="1:6" x14ac:dyDescent="0.25">
      <c r="A632" s="3" t="s">
        <v>578</v>
      </c>
      <c r="B632" s="10">
        <v>9358</v>
      </c>
      <c r="C632" s="23">
        <f t="shared" si="35"/>
        <v>9.4271386347472355E-3</v>
      </c>
      <c r="E632" s="13">
        <v>27.64</v>
      </c>
      <c r="F632" s="13">
        <f t="shared" si="34"/>
        <v>0.26056611186441359</v>
      </c>
    </row>
    <row r="633" spans="1:6" x14ac:dyDescent="0.25">
      <c r="A633" s="3" t="s">
        <v>579</v>
      </c>
      <c r="B633" s="10">
        <v>7055</v>
      </c>
      <c r="C633" s="23">
        <f t="shared" si="35"/>
        <v>7.1071236448110439E-3</v>
      </c>
      <c r="E633" s="13">
        <v>22.61</v>
      </c>
      <c r="F633" s="13">
        <f t="shared" si="34"/>
        <v>0.1606920656091777</v>
      </c>
    </row>
    <row r="634" spans="1:6" x14ac:dyDescent="0.25">
      <c r="A634" s="3" t="s">
        <v>580</v>
      </c>
      <c r="B634" s="10">
        <v>6594</v>
      </c>
      <c r="C634" s="23">
        <f t="shared" si="35"/>
        <v>6.6427176915498263E-3</v>
      </c>
      <c r="E634" s="13">
        <v>20.82</v>
      </c>
      <c r="F634" s="13">
        <f t="shared" si="34"/>
        <v>0.13830138233806738</v>
      </c>
    </row>
    <row r="635" spans="1:6" x14ac:dyDescent="0.25">
      <c r="A635" s="3" t="s">
        <v>581</v>
      </c>
      <c r="B635" s="10">
        <v>17642</v>
      </c>
      <c r="C635" s="23">
        <f t="shared" si="35"/>
        <v>1.7772342358859879E-2</v>
      </c>
      <c r="E635" s="13">
        <v>20.36</v>
      </c>
      <c r="F635" s="13">
        <f t="shared" si="34"/>
        <v>0.36184489042638712</v>
      </c>
    </row>
    <row r="636" spans="1:6" x14ac:dyDescent="0.25">
      <c r="A636" s="3" t="s">
        <v>582</v>
      </c>
      <c r="B636" s="10">
        <v>20240</v>
      </c>
      <c r="C636" s="23">
        <f t="shared" si="35"/>
        <v>2.0389536863355852E-2</v>
      </c>
      <c r="E636" s="13">
        <v>12.84</v>
      </c>
      <c r="F636" s="13">
        <f t="shared" si="34"/>
        <v>0.26180165332548916</v>
      </c>
    </row>
    <row r="637" spans="1:6" x14ac:dyDescent="0.25">
      <c r="A637" s="3" t="s">
        <v>583</v>
      </c>
      <c r="B637" s="10">
        <v>6329</v>
      </c>
      <c r="C637" s="23">
        <f t="shared" si="35"/>
        <v>6.3757598225384973E-3</v>
      </c>
      <c r="E637" s="13">
        <v>26.99</v>
      </c>
      <c r="F637" s="13">
        <f t="shared" si="34"/>
        <v>0.17208175761031402</v>
      </c>
    </row>
    <row r="638" spans="1:6" x14ac:dyDescent="0.25">
      <c r="A638" s="3" t="s">
        <v>584</v>
      </c>
      <c r="B638" s="10">
        <v>42297</v>
      </c>
      <c r="C638" s="23">
        <f t="shared" si="35"/>
        <v>4.2609498058762969E-2</v>
      </c>
      <c r="E638" s="13">
        <v>13.46</v>
      </c>
      <c r="F638" s="13">
        <f t="shared" si="34"/>
        <v>0.57352384387094957</v>
      </c>
    </row>
    <row r="639" spans="1:6" x14ac:dyDescent="0.25">
      <c r="A639" s="3" t="s">
        <v>585</v>
      </c>
      <c r="B639" s="10">
        <v>10129</v>
      </c>
      <c r="C639" s="23">
        <f t="shared" si="35"/>
        <v>1.0203834925342461E-2</v>
      </c>
      <c r="E639" s="13">
        <v>18.43</v>
      </c>
      <c r="F639" s="13">
        <f t="shared" si="34"/>
        <v>0.18805667767406156</v>
      </c>
    </row>
    <row r="640" spans="1:6" x14ac:dyDescent="0.25">
      <c r="A640" s="3" t="s">
        <v>586</v>
      </c>
      <c r="B640" s="10">
        <v>10566</v>
      </c>
      <c r="C640" s="23">
        <f t="shared" si="35"/>
        <v>1.0644063562164918E-2</v>
      </c>
      <c r="E640" s="13">
        <v>28.53</v>
      </c>
      <c r="F640" s="13">
        <f t="shared" si="34"/>
        <v>0.30367513342856511</v>
      </c>
    </row>
    <row r="641" spans="1:6" x14ac:dyDescent="0.25">
      <c r="A641" s="3" t="s">
        <v>587</v>
      </c>
      <c r="B641" s="10">
        <v>35216</v>
      </c>
      <c r="C641" s="23">
        <f t="shared" si="35"/>
        <v>3.5476182321143267E-2</v>
      </c>
      <c r="E641" s="13">
        <v>13.14</v>
      </c>
      <c r="F641" s="13">
        <f t="shared" si="34"/>
        <v>0.46615703569982253</v>
      </c>
    </row>
    <row r="642" spans="1:6" x14ac:dyDescent="0.25">
      <c r="A642" s="3" t="s">
        <v>588</v>
      </c>
      <c r="B642" s="10">
        <v>7887</v>
      </c>
      <c r="C642" s="23">
        <f t="shared" si="35"/>
        <v>7.9452706146881224E-3</v>
      </c>
      <c r="E642" s="13">
        <v>23.96</v>
      </c>
      <c r="F642" s="13">
        <f t="shared" si="34"/>
        <v>0.19036868392792741</v>
      </c>
    </row>
    <row r="643" spans="1:6" x14ac:dyDescent="0.25">
      <c r="A643" s="3" t="s">
        <v>589</v>
      </c>
      <c r="B643" s="10">
        <v>9935</v>
      </c>
      <c r="C643" s="23">
        <f t="shared" si="35"/>
        <v>1.000840161746247E-2</v>
      </c>
      <c r="E643" s="13">
        <v>26</v>
      </c>
      <c r="F643" s="13">
        <f t="shared" si="34"/>
        <v>0.26021844205402422</v>
      </c>
    </row>
    <row r="644" spans="1:6" x14ac:dyDescent="0.25">
      <c r="A644" s="3" t="s">
        <v>590</v>
      </c>
      <c r="B644" s="10">
        <v>6939</v>
      </c>
      <c r="C644" s="23">
        <f t="shared" si="35"/>
        <v>6.9902666153570285E-3</v>
      </c>
      <c r="E644" s="13">
        <v>18.149999999999999</v>
      </c>
      <c r="F644" s="13">
        <f t="shared" si="34"/>
        <v>0.12687333906873005</v>
      </c>
    </row>
    <row r="645" spans="1:6" x14ac:dyDescent="0.25">
      <c r="A645" s="3" t="s">
        <v>591</v>
      </c>
      <c r="B645" s="10">
        <v>9934</v>
      </c>
      <c r="C645" s="23">
        <f t="shared" si="35"/>
        <v>1.0007394229277522E-2</v>
      </c>
      <c r="E645" s="13">
        <v>28.71</v>
      </c>
      <c r="F645" s="13">
        <f t="shared" si="34"/>
        <v>0.28731228832255767</v>
      </c>
    </row>
    <row r="646" spans="1:6" x14ac:dyDescent="0.25">
      <c r="A646" s="3" t="s">
        <v>592</v>
      </c>
      <c r="B646" s="10">
        <v>8526</v>
      </c>
      <c r="C646" s="23">
        <f t="shared" si="35"/>
        <v>8.5889916648701579E-3</v>
      </c>
      <c r="E646" s="13">
        <v>17</v>
      </c>
      <c r="F646" s="13">
        <f t="shared" si="34"/>
        <v>0.14601285830279268</v>
      </c>
    </row>
    <row r="647" spans="1:6" x14ac:dyDescent="0.25">
      <c r="A647" s="3" t="s">
        <v>593</v>
      </c>
      <c r="B647" s="10">
        <v>5978</v>
      </c>
      <c r="C647" s="23">
        <f t="shared" si="35"/>
        <v>6.0221665696216049E-3</v>
      </c>
      <c r="E647" s="13">
        <v>23.05</v>
      </c>
      <c r="F647" s="13">
        <f t="shared" si="34"/>
        <v>0.13881093942977799</v>
      </c>
    </row>
    <row r="648" spans="1:6" x14ac:dyDescent="0.25">
      <c r="A648" s="3" t="s">
        <v>594</v>
      </c>
      <c r="B648" s="10">
        <v>25583</v>
      </c>
      <c r="C648" s="23">
        <f t="shared" si="35"/>
        <v>2.5772011935535216E-2</v>
      </c>
      <c r="E648" s="13">
        <v>12.62</v>
      </c>
      <c r="F648" s="13">
        <f t="shared" si="34"/>
        <v>0.32524279062645439</v>
      </c>
    </row>
    <row r="649" spans="1:6" x14ac:dyDescent="0.25">
      <c r="A649" s="3" t="s">
        <v>595</v>
      </c>
      <c r="B649" s="10">
        <v>12160</v>
      </c>
      <c r="C649" s="23">
        <f t="shared" si="35"/>
        <v>1.2249840328972686E-2</v>
      </c>
      <c r="E649" s="13">
        <v>29.34</v>
      </c>
      <c r="F649" s="13">
        <f t="shared" si="34"/>
        <v>0.35941031525205858</v>
      </c>
    </row>
    <row r="650" spans="1:6" x14ac:dyDescent="0.25">
      <c r="A650" s="20" t="s">
        <v>0</v>
      </c>
      <c r="B650" s="21">
        <f>SUM(B598:B649)</f>
        <v>992666</v>
      </c>
      <c r="C650" s="22">
        <f t="shared" si="35"/>
        <v>1</v>
      </c>
      <c r="D650" s="18"/>
      <c r="E650" s="18"/>
      <c r="F650" s="19">
        <f>SUM(F598:F649)</f>
        <v>19.521703171056526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F9654-446F-48C8-801D-7D3304D64016}">
  <dimension ref="A1:S170"/>
  <sheetViews>
    <sheetView zoomScale="80" zoomScaleNormal="80" workbookViewId="0">
      <selection activeCell="E1" sqref="E1"/>
    </sheetView>
  </sheetViews>
  <sheetFormatPr baseColWidth="10" defaultColWidth="11.28515625" defaultRowHeight="15" x14ac:dyDescent="0.25"/>
  <cols>
    <col min="1" max="1" width="41.28515625" style="3" customWidth="1"/>
    <col min="2" max="3" width="11.28515625" style="3"/>
    <col min="4" max="4" width="2.85546875" style="3" customWidth="1"/>
    <col min="5" max="5" width="17.7109375" style="3" bestFit="1" customWidth="1"/>
    <col min="6" max="6" width="30.7109375" style="3" bestFit="1" customWidth="1"/>
    <col min="7" max="7" width="35.7109375" style="3" bestFit="1" customWidth="1"/>
    <col min="8" max="8" width="11.140625" style="3" bestFit="1" customWidth="1"/>
    <col min="9" max="9" width="39" style="47" bestFit="1" customWidth="1"/>
    <col min="10" max="10" width="17" style="3" bestFit="1" customWidth="1"/>
    <col min="11" max="11" width="4.42578125" style="42" customWidth="1"/>
    <col min="12" max="12" width="12.140625" style="3" bestFit="1" customWidth="1"/>
    <col min="13" max="13" width="8.7109375" style="3" bestFit="1" customWidth="1"/>
    <col min="14" max="14" width="11.28515625" style="3"/>
    <col min="15" max="15" width="30.7109375" style="3" bestFit="1" customWidth="1"/>
    <col min="16" max="16" width="35.7109375" style="3" bestFit="1" customWidth="1"/>
    <col min="17" max="17" width="11.140625" style="3" bestFit="1" customWidth="1"/>
    <col min="18" max="18" width="39" style="47" bestFit="1" customWidth="1"/>
    <col min="19" max="19" width="17" style="3" bestFit="1" customWidth="1"/>
    <col min="20" max="16384" width="11.28515625" style="3"/>
  </cols>
  <sheetData>
    <row r="1" spans="1:19" s="8" customFormat="1" x14ac:dyDescent="0.25">
      <c r="E1" s="8" t="s">
        <v>602</v>
      </c>
      <c r="F1" s="8" t="s">
        <v>911</v>
      </c>
      <c r="G1" s="8" t="s">
        <v>912</v>
      </c>
      <c r="H1" s="8" t="s">
        <v>605</v>
      </c>
      <c r="I1" s="8" t="s">
        <v>910</v>
      </c>
      <c r="J1" s="8" t="s">
        <v>607</v>
      </c>
      <c r="K1" s="50"/>
      <c r="L1" s="8" t="s">
        <v>913</v>
      </c>
      <c r="M1" s="8" t="s">
        <v>914</v>
      </c>
      <c r="N1" s="8" t="s">
        <v>608</v>
      </c>
      <c r="O1" s="8" t="s">
        <v>603</v>
      </c>
      <c r="P1" s="8" t="s">
        <v>604</v>
      </c>
      <c r="Q1" s="8" t="s">
        <v>605</v>
      </c>
      <c r="R1" s="8" t="s">
        <v>606</v>
      </c>
      <c r="S1" s="8" t="s">
        <v>607</v>
      </c>
    </row>
    <row r="2" spans="1:19" x14ac:dyDescent="0.25">
      <c r="A2" s="9" t="s">
        <v>929</v>
      </c>
      <c r="I2" s="3"/>
      <c r="R2" s="3"/>
    </row>
    <row r="3" spans="1:19" x14ac:dyDescent="0.25">
      <c r="A3" s="3" t="s">
        <v>609</v>
      </c>
      <c r="B3" s="10">
        <f>1355+824</f>
        <v>2179</v>
      </c>
      <c r="C3" s="11">
        <f t="shared" ref="C3:C13" si="0">B3/B$13</f>
        <v>0.2008480044243709</v>
      </c>
      <c r="E3" s="3">
        <v>0</v>
      </c>
      <c r="F3" s="3" t="s">
        <v>610</v>
      </c>
      <c r="G3" s="3" t="s">
        <v>611</v>
      </c>
      <c r="H3" s="46">
        <v>0.71527777777777779</v>
      </c>
      <c r="I3" s="47" t="s">
        <v>915</v>
      </c>
      <c r="J3" s="48">
        <v>45481</v>
      </c>
      <c r="L3" s="3">
        <v>0</v>
      </c>
      <c r="N3" s="3">
        <f t="shared" ref="N3:N12" si="1">L3-M3</f>
        <v>0</v>
      </c>
      <c r="O3" s="3" t="s">
        <v>610</v>
      </c>
      <c r="P3" s="3" t="s">
        <v>611</v>
      </c>
      <c r="Q3" s="46">
        <v>0.71527777777777779</v>
      </c>
      <c r="R3" s="47" t="s">
        <v>915</v>
      </c>
      <c r="S3" s="48">
        <v>45482</v>
      </c>
    </row>
    <row r="4" spans="1:19" x14ac:dyDescent="0.25">
      <c r="A4" s="3" t="s">
        <v>612</v>
      </c>
      <c r="B4" s="10">
        <f>1208+390</f>
        <v>1598</v>
      </c>
      <c r="C4" s="11">
        <f t="shared" si="0"/>
        <v>0.14729468153746889</v>
      </c>
      <c r="E4" s="3">
        <v>1</v>
      </c>
      <c r="F4" s="3" t="s">
        <v>610</v>
      </c>
      <c r="G4" s="3" t="s">
        <v>613</v>
      </c>
      <c r="H4" s="49">
        <v>0.69236111111111109</v>
      </c>
      <c r="I4" s="47" t="s">
        <v>915</v>
      </c>
      <c r="J4" s="48">
        <v>45481</v>
      </c>
      <c r="L4" s="3">
        <f>48-44</f>
        <v>4</v>
      </c>
      <c r="M4" s="3">
        <v>4</v>
      </c>
      <c r="N4" s="3">
        <f t="shared" si="1"/>
        <v>0</v>
      </c>
      <c r="O4" s="3" t="s">
        <v>610</v>
      </c>
      <c r="P4" s="3" t="s">
        <v>613</v>
      </c>
      <c r="Q4" s="49">
        <v>0.69236111111111109</v>
      </c>
      <c r="R4" s="47" t="s">
        <v>915</v>
      </c>
      <c r="S4" s="48">
        <v>45482</v>
      </c>
    </row>
    <row r="5" spans="1:19" x14ac:dyDescent="0.25">
      <c r="A5" s="3" t="s">
        <v>614</v>
      </c>
      <c r="B5" s="10">
        <f>677+701</f>
        <v>1378</v>
      </c>
      <c r="C5" s="11">
        <f t="shared" si="0"/>
        <v>0.12701631486772974</v>
      </c>
      <c r="E5" s="3">
        <v>1</v>
      </c>
      <c r="F5" s="3" t="s">
        <v>615</v>
      </c>
      <c r="G5" s="3" t="s">
        <v>616</v>
      </c>
      <c r="H5" s="49">
        <v>0.75486111111111109</v>
      </c>
      <c r="I5" s="47" t="s">
        <v>915</v>
      </c>
      <c r="J5" s="48">
        <v>45488</v>
      </c>
      <c r="L5" s="3">
        <f>9-8</f>
        <v>1</v>
      </c>
      <c r="N5" s="3">
        <f t="shared" si="1"/>
        <v>1</v>
      </c>
      <c r="O5" s="3" t="s">
        <v>615</v>
      </c>
      <c r="P5" s="3" t="s">
        <v>616</v>
      </c>
      <c r="Q5" s="49">
        <v>0.75486111111111109</v>
      </c>
      <c r="R5" s="47" t="s">
        <v>915</v>
      </c>
      <c r="S5" s="48">
        <v>45488</v>
      </c>
    </row>
    <row r="6" spans="1:19" x14ac:dyDescent="0.25">
      <c r="A6" s="3" t="s">
        <v>617</v>
      </c>
      <c r="B6" s="10">
        <f>617+705</f>
        <v>1322</v>
      </c>
      <c r="C6" s="11">
        <f t="shared" si="0"/>
        <v>0.1218545488063416</v>
      </c>
      <c r="E6" s="3">
        <v>0</v>
      </c>
      <c r="F6" s="3" t="s">
        <v>610</v>
      </c>
      <c r="G6" s="3" t="s">
        <v>618</v>
      </c>
      <c r="H6" s="46">
        <v>0.68263888888888891</v>
      </c>
      <c r="I6" s="47" t="s">
        <v>915</v>
      </c>
      <c r="J6" s="48">
        <v>45481</v>
      </c>
      <c r="L6" s="3">
        <v>0</v>
      </c>
      <c r="N6" s="3">
        <f t="shared" si="1"/>
        <v>0</v>
      </c>
      <c r="O6" s="3" t="s">
        <v>610</v>
      </c>
      <c r="P6" s="3" t="s">
        <v>618</v>
      </c>
      <c r="Q6" s="46">
        <v>0.68263888888888891</v>
      </c>
      <c r="R6" s="47" t="s">
        <v>915</v>
      </c>
      <c r="S6" s="48">
        <v>45482</v>
      </c>
    </row>
    <row r="7" spans="1:19" x14ac:dyDescent="0.25">
      <c r="A7" s="3" t="s">
        <v>619</v>
      </c>
      <c r="B7" s="10">
        <f>727+360</f>
        <v>1087</v>
      </c>
      <c r="C7" s="11">
        <f t="shared" si="0"/>
        <v>0.10019356622730205</v>
      </c>
      <c r="E7" s="3">
        <v>0</v>
      </c>
      <c r="F7" s="3" t="s">
        <v>615</v>
      </c>
      <c r="G7" s="3" t="s">
        <v>620</v>
      </c>
      <c r="H7" s="46">
        <v>0.69027777777777777</v>
      </c>
      <c r="I7" s="47" t="s">
        <v>915</v>
      </c>
      <c r="J7" s="48">
        <v>45481</v>
      </c>
      <c r="L7" s="3">
        <v>0</v>
      </c>
      <c r="N7" s="3">
        <f t="shared" si="1"/>
        <v>0</v>
      </c>
      <c r="O7" s="3" t="s">
        <v>615</v>
      </c>
      <c r="P7" s="3" t="s">
        <v>620</v>
      </c>
      <c r="Q7" s="46">
        <v>0.69027777777777777</v>
      </c>
      <c r="R7" s="47" t="s">
        <v>915</v>
      </c>
      <c r="S7" s="48">
        <v>45482</v>
      </c>
    </row>
    <row r="8" spans="1:19" x14ac:dyDescent="0.25">
      <c r="A8" s="3" t="s">
        <v>621</v>
      </c>
      <c r="B8" s="10">
        <f>727+240</f>
        <v>967</v>
      </c>
      <c r="C8" s="11">
        <f t="shared" si="0"/>
        <v>8.9132638952898885E-2</v>
      </c>
      <c r="E8" s="3">
        <v>1</v>
      </c>
      <c r="F8" s="3" t="s">
        <v>615</v>
      </c>
      <c r="G8" s="3" t="s">
        <v>610</v>
      </c>
      <c r="H8" s="46">
        <v>0.75486111111111109</v>
      </c>
      <c r="I8" s="47" t="s">
        <v>915</v>
      </c>
      <c r="J8" s="48">
        <v>45481</v>
      </c>
      <c r="L8" s="3">
        <f>10-8</f>
        <v>2</v>
      </c>
      <c r="M8" s="3">
        <v>0</v>
      </c>
      <c r="N8" s="3">
        <f t="shared" si="1"/>
        <v>2</v>
      </c>
      <c r="O8" s="3" t="s">
        <v>615</v>
      </c>
      <c r="P8" s="3" t="s">
        <v>610</v>
      </c>
      <c r="Q8" s="46">
        <v>0.75486111111111109</v>
      </c>
      <c r="R8" s="47" t="s">
        <v>915</v>
      </c>
      <c r="S8" s="48">
        <v>45482</v>
      </c>
    </row>
    <row r="9" spans="1:19" x14ac:dyDescent="0.25">
      <c r="A9" s="3" t="s">
        <v>622</v>
      </c>
      <c r="B9" s="10">
        <f>215+651</f>
        <v>866</v>
      </c>
      <c r="C9" s="11">
        <f t="shared" si="0"/>
        <v>7.9823025163609548E-2</v>
      </c>
      <c r="E9" s="3">
        <v>1</v>
      </c>
      <c r="F9" s="3" t="s">
        <v>615</v>
      </c>
      <c r="G9" s="3" t="s">
        <v>623</v>
      </c>
      <c r="H9" s="46">
        <v>0.67500000000000004</v>
      </c>
      <c r="I9" s="47" t="s">
        <v>915</v>
      </c>
      <c r="J9" s="48">
        <v>45481</v>
      </c>
      <c r="L9" s="3">
        <f>45-43</f>
        <v>2</v>
      </c>
      <c r="M9" s="3">
        <v>2</v>
      </c>
      <c r="N9" s="3">
        <f t="shared" si="1"/>
        <v>0</v>
      </c>
      <c r="O9" s="3" t="s">
        <v>615</v>
      </c>
      <c r="P9" s="3" t="s">
        <v>623</v>
      </c>
      <c r="Q9" s="46">
        <v>0.67500000000000004</v>
      </c>
      <c r="R9" s="47" t="s">
        <v>915</v>
      </c>
      <c r="S9" s="48">
        <v>45482</v>
      </c>
    </row>
    <row r="10" spans="1:19" x14ac:dyDescent="0.25">
      <c r="A10" s="3" t="s">
        <v>624</v>
      </c>
      <c r="B10" s="10">
        <f>116+411</f>
        <v>527</v>
      </c>
      <c r="C10" s="11">
        <f t="shared" si="0"/>
        <v>4.8575905613420595E-2</v>
      </c>
      <c r="E10" s="3">
        <v>1</v>
      </c>
      <c r="F10" s="3" t="s">
        <v>610</v>
      </c>
      <c r="G10" s="3" t="s">
        <v>623</v>
      </c>
      <c r="H10" s="46">
        <v>0.68611111111111112</v>
      </c>
      <c r="I10" s="47" t="s">
        <v>915</v>
      </c>
      <c r="J10" s="48">
        <v>45481</v>
      </c>
      <c r="L10" s="3">
        <f>44-38</f>
        <v>6</v>
      </c>
      <c r="M10" s="3">
        <v>3</v>
      </c>
      <c r="N10" s="3">
        <f t="shared" si="1"/>
        <v>3</v>
      </c>
      <c r="O10" s="3" t="s">
        <v>610</v>
      </c>
      <c r="P10" s="3" t="s">
        <v>623</v>
      </c>
      <c r="Q10" s="46">
        <v>0.68611111111111112</v>
      </c>
      <c r="R10" s="47" t="s">
        <v>915</v>
      </c>
      <c r="S10" s="48">
        <v>45482</v>
      </c>
    </row>
    <row r="11" spans="1:19" x14ac:dyDescent="0.25">
      <c r="A11" s="3" t="s">
        <v>625</v>
      </c>
      <c r="B11" s="10">
        <f>313+182</f>
        <v>495</v>
      </c>
      <c r="C11" s="11">
        <f t="shared" si="0"/>
        <v>4.5626325006913077E-2</v>
      </c>
      <c r="E11" s="3">
        <v>1</v>
      </c>
      <c r="F11" s="3" t="s">
        <v>615</v>
      </c>
      <c r="G11" s="3" t="s">
        <v>618</v>
      </c>
      <c r="H11" s="49">
        <v>0.75486111111111109</v>
      </c>
      <c r="I11" s="47" t="s">
        <v>915</v>
      </c>
      <c r="J11" s="48">
        <v>45481</v>
      </c>
      <c r="L11" s="3">
        <f>10-8</f>
        <v>2</v>
      </c>
      <c r="M11" s="3">
        <v>0</v>
      </c>
      <c r="N11" s="3">
        <f t="shared" si="1"/>
        <v>2</v>
      </c>
      <c r="O11" s="3" t="s">
        <v>615</v>
      </c>
      <c r="P11" s="3" t="s">
        <v>618</v>
      </c>
      <c r="Q11" s="49">
        <v>0.75486111111111109</v>
      </c>
      <c r="R11" s="47" t="s">
        <v>915</v>
      </c>
      <c r="S11" s="48">
        <v>45482</v>
      </c>
    </row>
    <row r="12" spans="1:19" x14ac:dyDescent="0.25">
      <c r="A12" s="3" t="s">
        <v>626</v>
      </c>
      <c r="B12" s="10">
        <f>197+233</f>
        <v>430</v>
      </c>
      <c r="C12" s="11">
        <f t="shared" si="0"/>
        <v>3.9634989399944698E-2</v>
      </c>
      <c r="E12" s="3">
        <v>2</v>
      </c>
      <c r="F12" s="3" t="s">
        <v>613</v>
      </c>
      <c r="G12" s="3" t="s">
        <v>611</v>
      </c>
      <c r="H12" s="46">
        <v>0.79305555555555551</v>
      </c>
      <c r="I12" s="47" t="s">
        <v>915</v>
      </c>
      <c r="J12" s="48">
        <v>45481</v>
      </c>
      <c r="L12" s="3">
        <f>(10-5)+(33-17)</f>
        <v>21</v>
      </c>
      <c r="M12" s="3">
        <f>5+2</f>
        <v>7</v>
      </c>
      <c r="N12" s="3">
        <f t="shared" si="1"/>
        <v>14</v>
      </c>
      <c r="O12" s="3" t="s">
        <v>613</v>
      </c>
      <c r="P12" s="3" t="s">
        <v>611</v>
      </c>
      <c r="Q12" s="46">
        <v>0.79305555555555551</v>
      </c>
      <c r="R12" s="47" t="s">
        <v>915</v>
      </c>
      <c r="S12" s="48">
        <v>45482</v>
      </c>
    </row>
    <row r="13" spans="1:19" x14ac:dyDescent="0.25">
      <c r="A13" s="18"/>
      <c r="B13" s="21">
        <f>SUM(B3:B12)</f>
        <v>10849</v>
      </c>
      <c r="C13" s="22">
        <f t="shared" si="0"/>
        <v>1</v>
      </c>
      <c r="D13" s="18"/>
      <c r="E13" s="39">
        <f>E3*C3+E4*C4+E5*C5+E6*C6+E7*C7+E8*C8+E9*C9+E10*C10+E11*C11+E12*C12</f>
        <v>0.61673886994193017</v>
      </c>
      <c r="L13" s="39"/>
      <c r="M13" s="39"/>
      <c r="N13" s="39">
        <f>N3*$C3+N4*$C4+N5*$C5+N6*$C6+N7*$C7+N8*$C8+N9*$C9+N10*$C10+N11*$C11+N12*$C12</f>
        <v>1.0971518112268412</v>
      </c>
    </row>
    <row r="15" spans="1:19" x14ac:dyDescent="0.25">
      <c r="A15" s="9" t="s">
        <v>930</v>
      </c>
    </row>
    <row r="16" spans="1:19" x14ac:dyDescent="0.25">
      <c r="A16" s="3" t="s">
        <v>627</v>
      </c>
      <c r="B16" s="10">
        <v>2325</v>
      </c>
      <c r="C16" s="11">
        <f>B16/B$26</f>
        <v>0.21454277013933745</v>
      </c>
      <c r="E16" s="3">
        <v>1</v>
      </c>
      <c r="F16" s="3" t="s">
        <v>628</v>
      </c>
      <c r="G16" s="3" t="s">
        <v>629</v>
      </c>
      <c r="H16" s="46">
        <v>0.70694444444444449</v>
      </c>
      <c r="I16" s="47" t="s">
        <v>915</v>
      </c>
      <c r="J16" s="48">
        <v>45481</v>
      </c>
      <c r="L16" s="3">
        <f>3-0</f>
        <v>3</v>
      </c>
      <c r="M16" s="3">
        <v>3</v>
      </c>
      <c r="N16" s="3">
        <f t="shared" ref="N16:N25" si="2">L16-M16</f>
        <v>0</v>
      </c>
      <c r="O16" s="3" t="s">
        <v>628</v>
      </c>
      <c r="P16" s="3" t="s">
        <v>629</v>
      </c>
      <c r="Q16" s="46">
        <v>0.70694444444444449</v>
      </c>
      <c r="R16" s="47" t="s">
        <v>915</v>
      </c>
      <c r="S16" s="48">
        <v>45482</v>
      </c>
    </row>
    <row r="17" spans="1:19" x14ac:dyDescent="0.25">
      <c r="A17" s="3" t="s">
        <v>630</v>
      </c>
      <c r="B17" s="10">
        <v>1820</v>
      </c>
      <c r="C17" s="11">
        <f t="shared" ref="C17:C26" si="3">B17/B$26</f>
        <v>0.16794315770047061</v>
      </c>
      <c r="E17" s="3">
        <v>0</v>
      </c>
      <c r="F17" s="3" t="s">
        <v>628</v>
      </c>
      <c r="G17" s="3" t="s">
        <v>631</v>
      </c>
      <c r="H17" s="49">
        <v>0.69374999999999998</v>
      </c>
      <c r="I17" s="47" t="s">
        <v>915</v>
      </c>
      <c r="J17" s="48">
        <v>45481</v>
      </c>
      <c r="L17" s="3">
        <v>0</v>
      </c>
      <c r="N17" s="3">
        <f t="shared" si="2"/>
        <v>0</v>
      </c>
      <c r="O17" s="3" t="s">
        <v>628</v>
      </c>
      <c r="P17" s="3" t="s">
        <v>631</v>
      </c>
      <c r="Q17" s="49">
        <v>0.69374999999999998</v>
      </c>
      <c r="R17" s="47" t="s">
        <v>915</v>
      </c>
      <c r="S17" s="48">
        <v>45482</v>
      </c>
    </row>
    <row r="18" spans="1:19" x14ac:dyDescent="0.25">
      <c r="A18" s="3" t="s">
        <v>632</v>
      </c>
      <c r="B18" s="10">
        <v>1591</v>
      </c>
      <c r="C18" s="11">
        <f t="shared" si="3"/>
        <v>0.1468118482974993</v>
      </c>
      <c r="E18" s="3">
        <v>0</v>
      </c>
      <c r="F18" s="3" t="s">
        <v>628</v>
      </c>
      <c r="G18" s="3" t="s">
        <v>633</v>
      </c>
      <c r="H18" s="46">
        <v>0.68888888888888888</v>
      </c>
      <c r="I18" s="47" t="s">
        <v>915</v>
      </c>
      <c r="J18" s="48">
        <v>45481</v>
      </c>
      <c r="L18" s="3">
        <v>0</v>
      </c>
      <c r="N18" s="3">
        <f t="shared" si="2"/>
        <v>0</v>
      </c>
      <c r="O18" s="3" t="s">
        <v>628</v>
      </c>
      <c r="P18" s="3" t="s">
        <v>633</v>
      </c>
      <c r="Q18" s="46">
        <v>0.68888888888888888</v>
      </c>
      <c r="R18" s="47" t="s">
        <v>915</v>
      </c>
      <c r="S18" s="48">
        <v>45482</v>
      </c>
    </row>
    <row r="19" spans="1:19" x14ac:dyDescent="0.25">
      <c r="A19" s="3" t="s">
        <v>634</v>
      </c>
      <c r="B19" s="10">
        <v>886</v>
      </c>
      <c r="C19" s="11">
        <f t="shared" si="3"/>
        <v>8.1756943803635698E-2</v>
      </c>
      <c r="E19" s="3">
        <v>0</v>
      </c>
      <c r="F19" s="3" t="s">
        <v>628</v>
      </c>
      <c r="G19" s="3" t="s">
        <v>635</v>
      </c>
      <c r="H19" s="46">
        <v>0.69374999999999998</v>
      </c>
      <c r="I19" s="47" t="s">
        <v>915</v>
      </c>
      <c r="J19" s="48">
        <v>45481</v>
      </c>
      <c r="L19" s="3">
        <v>0</v>
      </c>
      <c r="N19" s="3">
        <f t="shared" si="2"/>
        <v>0</v>
      </c>
      <c r="O19" s="3" t="s">
        <v>628</v>
      </c>
      <c r="P19" s="3" t="s">
        <v>635</v>
      </c>
      <c r="Q19" s="46">
        <v>0.69374999999999998</v>
      </c>
      <c r="R19" s="47" t="s">
        <v>915</v>
      </c>
      <c r="S19" s="48">
        <v>45482</v>
      </c>
    </row>
    <row r="20" spans="1:19" x14ac:dyDescent="0.25">
      <c r="A20" s="3" t="s">
        <v>636</v>
      </c>
      <c r="B20" s="10">
        <v>799</v>
      </c>
      <c r="C20" s="11">
        <f t="shared" si="3"/>
        <v>7.3728891759712104E-2</v>
      </c>
      <c r="E20" s="3">
        <v>1</v>
      </c>
      <c r="F20" s="3" t="s">
        <v>635</v>
      </c>
      <c r="G20" s="3" t="s">
        <v>637</v>
      </c>
      <c r="H20" s="46">
        <v>0.72499999999999998</v>
      </c>
      <c r="I20" s="47" t="s">
        <v>915</v>
      </c>
      <c r="J20" s="48">
        <v>45481</v>
      </c>
      <c r="L20" s="3">
        <f>30-28</f>
        <v>2</v>
      </c>
      <c r="M20" s="3">
        <v>2</v>
      </c>
      <c r="N20" s="3">
        <f t="shared" si="2"/>
        <v>0</v>
      </c>
      <c r="O20" s="3" t="s">
        <v>635</v>
      </c>
      <c r="P20" s="3" t="s">
        <v>637</v>
      </c>
      <c r="Q20" s="46">
        <v>0.72499999999999998</v>
      </c>
      <c r="R20" s="47" t="s">
        <v>915</v>
      </c>
      <c r="S20" s="48">
        <v>45482</v>
      </c>
    </row>
    <row r="21" spans="1:19" x14ac:dyDescent="0.25">
      <c r="A21" s="3" t="s">
        <v>638</v>
      </c>
      <c r="B21" s="10">
        <v>778</v>
      </c>
      <c r="C21" s="11">
        <f t="shared" si="3"/>
        <v>7.1791086093937431E-2</v>
      </c>
      <c r="E21" s="3">
        <v>0</v>
      </c>
      <c r="F21" s="3" t="s">
        <v>628</v>
      </c>
      <c r="G21" s="3" t="s">
        <v>639</v>
      </c>
      <c r="H21" s="46">
        <v>0.71527777777777779</v>
      </c>
      <c r="I21" s="47" t="s">
        <v>915</v>
      </c>
      <c r="J21" s="48">
        <v>45481</v>
      </c>
      <c r="L21" s="3">
        <v>0</v>
      </c>
      <c r="N21" s="3">
        <f t="shared" si="2"/>
        <v>0</v>
      </c>
      <c r="O21" s="3" t="s">
        <v>628</v>
      </c>
      <c r="P21" s="3" t="s">
        <v>639</v>
      </c>
      <c r="Q21" s="46">
        <v>0.71527777777777779</v>
      </c>
      <c r="R21" s="47" t="s">
        <v>915</v>
      </c>
      <c r="S21" s="48">
        <v>45482</v>
      </c>
    </row>
    <row r="22" spans="1:19" x14ac:dyDescent="0.25">
      <c r="A22" s="3" t="s">
        <v>640</v>
      </c>
      <c r="B22" s="10">
        <v>749</v>
      </c>
      <c r="C22" s="11">
        <f t="shared" si="3"/>
        <v>6.9115068745962904E-2</v>
      </c>
      <c r="E22" s="3">
        <v>0</v>
      </c>
      <c r="F22" s="3" t="s">
        <v>635</v>
      </c>
      <c r="G22" s="3" t="s">
        <v>641</v>
      </c>
      <c r="H22" s="46">
        <v>0.70833333333333337</v>
      </c>
      <c r="I22" s="47" t="s">
        <v>915</v>
      </c>
      <c r="J22" s="48">
        <v>45481</v>
      </c>
      <c r="L22" s="3">
        <v>0</v>
      </c>
      <c r="N22" s="3">
        <f t="shared" si="2"/>
        <v>0</v>
      </c>
      <c r="O22" s="3" t="s">
        <v>635</v>
      </c>
      <c r="P22" s="3" t="s">
        <v>641</v>
      </c>
      <c r="Q22" s="46">
        <v>0.70833333333333337</v>
      </c>
      <c r="R22" s="47" t="s">
        <v>915</v>
      </c>
      <c r="S22" s="48">
        <v>45482</v>
      </c>
    </row>
    <row r="23" spans="1:19" x14ac:dyDescent="0.25">
      <c r="A23" s="3" t="s">
        <v>642</v>
      </c>
      <c r="B23" s="10">
        <v>747</v>
      </c>
      <c r="C23" s="11">
        <f t="shared" si="3"/>
        <v>6.8930515825412944E-2</v>
      </c>
      <c r="E23" s="3">
        <v>0</v>
      </c>
      <c r="F23" s="3" t="s">
        <v>635</v>
      </c>
      <c r="G23" s="3" t="s">
        <v>643</v>
      </c>
      <c r="H23" s="46">
        <v>0.69166666666666665</v>
      </c>
      <c r="I23" s="47" t="s">
        <v>915</v>
      </c>
      <c r="J23" s="48">
        <v>45481</v>
      </c>
      <c r="L23" s="3">
        <v>0</v>
      </c>
      <c r="N23" s="3">
        <f t="shared" si="2"/>
        <v>0</v>
      </c>
      <c r="O23" s="3" t="s">
        <v>635</v>
      </c>
      <c r="P23" s="3" t="s">
        <v>643</v>
      </c>
      <c r="Q23" s="46">
        <v>0.69166666666666665</v>
      </c>
      <c r="R23" s="47" t="s">
        <v>915</v>
      </c>
      <c r="S23" s="48">
        <v>45482</v>
      </c>
    </row>
    <row r="24" spans="1:19" x14ac:dyDescent="0.25">
      <c r="A24" s="3" t="s">
        <v>644</v>
      </c>
      <c r="B24" s="10">
        <v>661</v>
      </c>
      <c r="C24" s="11">
        <f t="shared" si="3"/>
        <v>6.0994740241764323E-2</v>
      </c>
      <c r="E24" s="3">
        <v>0</v>
      </c>
      <c r="F24" s="3" t="s">
        <v>628</v>
      </c>
      <c r="G24" s="3" t="s">
        <v>645</v>
      </c>
      <c r="H24" s="46">
        <v>0.69236111111111109</v>
      </c>
      <c r="I24" s="47" t="s">
        <v>915</v>
      </c>
      <c r="J24" s="48">
        <v>45481</v>
      </c>
      <c r="L24" s="3">
        <v>0</v>
      </c>
      <c r="N24" s="3">
        <f t="shared" si="2"/>
        <v>0</v>
      </c>
      <c r="O24" s="3" t="s">
        <v>628</v>
      </c>
      <c r="P24" s="3" t="s">
        <v>645</v>
      </c>
      <c r="Q24" s="46">
        <v>0.69236111111111109</v>
      </c>
      <c r="R24" s="47" t="s">
        <v>915</v>
      </c>
      <c r="S24" s="48">
        <v>45482</v>
      </c>
    </row>
    <row r="25" spans="1:19" x14ac:dyDescent="0.25">
      <c r="A25" s="14" t="s">
        <v>646</v>
      </c>
      <c r="B25" s="10">
        <v>481</v>
      </c>
      <c r="C25" s="11">
        <f t="shared" si="3"/>
        <v>4.4384977392267232E-2</v>
      </c>
      <c r="E25" s="3">
        <v>1</v>
      </c>
      <c r="F25" s="3" t="s">
        <v>635</v>
      </c>
      <c r="G25" s="3" t="s">
        <v>647</v>
      </c>
      <c r="H25" s="49">
        <v>0.69722222222222219</v>
      </c>
      <c r="I25" s="47" t="s">
        <v>915</v>
      </c>
      <c r="J25" s="48">
        <v>45481</v>
      </c>
      <c r="L25" s="3">
        <f>50-48</f>
        <v>2</v>
      </c>
      <c r="M25" s="3">
        <v>2</v>
      </c>
      <c r="N25" s="3">
        <f t="shared" si="2"/>
        <v>0</v>
      </c>
      <c r="O25" s="3" t="s">
        <v>635</v>
      </c>
      <c r="P25" s="3" t="s">
        <v>647</v>
      </c>
      <c r="Q25" s="49">
        <v>0.69722222222222219</v>
      </c>
      <c r="R25" s="47" t="s">
        <v>915</v>
      </c>
      <c r="S25" s="48">
        <v>45482</v>
      </c>
    </row>
    <row r="26" spans="1:19" x14ac:dyDescent="0.25">
      <c r="B26" s="21">
        <f>SUM(B16:B25)</f>
        <v>10837</v>
      </c>
      <c r="C26" s="22">
        <f t="shared" si="3"/>
        <v>1</v>
      </c>
      <c r="D26" s="18"/>
      <c r="E26" s="39">
        <f>E16*C16+E17*C17+E18*C18+E19*C19+E20*C20+E21*C21+E22*C22+E23*C23+E24*C24+E25*C25</f>
        <v>0.33265663929131678</v>
      </c>
      <c r="L26" s="39"/>
      <c r="M26" s="39"/>
      <c r="N26" s="39">
        <f>N16*$C16+N17*$C17+N18*$C18+N19*$C19+N20*$C20+N21*$C21+N22*$C22+N23*$C23+N24*$C24+N25*$C25</f>
        <v>0</v>
      </c>
    </row>
    <row r="27" spans="1:19" x14ac:dyDescent="0.25">
      <c r="Q27" s="46"/>
      <c r="S27" s="48"/>
    </row>
    <row r="28" spans="1:19" x14ac:dyDescent="0.25">
      <c r="A28" s="9" t="s">
        <v>931</v>
      </c>
    </row>
    <row r="29" spans="1:19" x14ac:dyDescent="0.25">
      <c r="A29" s="3" t="s">
        <v>648</v>
      </c>
      <c r="B29" s="10">
        <v>7002</v>
      </c>
      <c r="C29" s="11">
        <f>B29/B$39</f>
        <v>0.39974880109614069</v>
      </c>
      <c r="E29" s="3">
        <v>0</v>
      </c>
      <c r="F29" s="3" t="s">
        <v>649</v>
      </c>
      <c r="G29" s="3" t="s">
        <v>650</v>
      </c>
      <c r="H29" s="46">
        <v>0.69166666666666665</v>
      </c>
      <c r="I29" s="47" t="s">
        <v>916</v>
      </c>
      <c r="J29" s="48">
        <v>45481</v>
      </c>
      <c r="L29" s="3">
        <v>0</v>
      </c>
      <c r="N29" s="3">
        <f t="shared" ref="N29:N38" si="4">L29-M29</f>
        <v>0</v>
      </c>
      <c r="O29" s="3" t="s">
        <v>649</v>
      </c>
      <c r="P29" s="3" t="s">
        <v>650</v>
      </c>
      <c r="Q29" s="46">
        <v>0.69166666666666665</v>
      </c>
      <c r="R29" s="47" t="s">
        <v>916</v>
      </c>
      <c r="S29" s="48">
        <v>45482</v>
      </c>
    </row>
    <row r="30" spans="1:19" x14ac:dyDescent="0.25">
      <c r="A30" s="3" t="s">
        <v>651</v>
      </c>
      <c r="B30" s="10">
        <v>1857</v>
      </c>
      <c r="C30" s="11">
        <f t="shared" ref="C30:C39" si="5">B30/B$39</f>
        <v>0.10601735556063029</v>
      </c>
      <c r="E30" s="3">
        <v>0</v>
      </c>
      <c r="F30" s="3" t="s">
        <v>649</v>
      </c>
      <c r="G30" s="3" t="s">
        <v>652</v>
      </c>
      <c r="H30" s="49">
        <v>0.71388888888888891</v>
      </c>
      <c r="I30" s="47" t="s">
        <v>916</v>
      </c>
      <c r="J30" s="48">
        <v>45481</v>
      </c>
      <c r="L30" s="3">
        <v>0</v>
      </c>
      <c r="N30" s="3">
        <f t="shared" si="4"/>
        <v>0</v>
      </c>
      <c r="O30" s="3" t="s">
        <v>649</v>
      </c>
      <c r="P30" s="3" t="s">
        <v>652</v>
      </c>
      <c r="Q30" s="49">
        <v>0.71388888888888891</v>
      </c>
      <c r="R30" s="47" t="s">
        <v>916</v>
      </c>
      <c r="S30" s="48">
        <v>45482</v>
      </c>
    </row>
    <row r="31" spans="1:19" x14ac:dyDescent="0.25">
      <c r="A31" s="3" t="s">
        <v>653</v>
      </c>
      <c r="B31" s="10">
        <v>1626</v>
      </c>
      <c r="C31" s="11">
        <f t="shared" si="5"/>
        <v>9.2829413108015527E-2</v>
      </c>
      <c r="E31" s="3">
        <v>0</v>
      </c>
      <c r="F31" s="3" t="s">
        <v>649</v>
      </c>
      <c r="G31" s="3" t="s">
        <v>654</v>
      </c>
      <c r="H31" s="46">
        <v>0.71875</v>
      </c>
      <c r="I31" s="47" t="s">
        <v>916</v>
      </c>
      <c r="J31" s="48">
        <v>45481</v>
      </c>
      <c r="L31" s="3">
        <v>0</v>
      </c>
      <c r="N31" s="3">
        <f t="shared" si="4"/>
        <v>0</v>
      </c>
      <c r="O31" s="3" t="s">
        <v>649</v>
      </c>
      <c r="P31" s="3" t="s">
        <v>654</v>
      </c>
      <c r="Q31" s="46">
        <v>0.71875</v>
      </c>
      <c r="R31" s="47" t="s">
        <v>916</v>
      </c>
      <c r="S31" s="48">
        <v>45482</v>
      </c>
    </row>
    <row r="32" spans="1:19" x14ac:dyDescent="0.25">
      <c r="A32" s="3" t="s">
        <v>655</v>
      </c>
      <c r="B32" s="10">
        <v>1377</v>
      </c>
      <c r="C32" s="11">
        <f t="shared" si="5"/>
        <v>7.8613838775976247E-2</v>
      </c>
      <c r="E32" s="3">
        <v>1</v>
      </c>
      <c r="F32" s="3" t="s">
        <v>649</v>
      </c>
      <c r="G32" s="3" t="s">
        <v>656</v>
      </c>
      <c r="H32" s="46">
        <v>0.72291666666666665</v>
      </c>
      <c r="I32" s="47" t="s">
        <v>916</v>
      </c>
      <c r="J32" s="48">
        <v>45481</v>
      </c>
      <c r="L32" s="3">
        <f>60-56</f>
        <v>4</v>
      </c>
      <c r="M32" s="3">
        <v>1</v>
      </c>
      <c r="N32" s="3">
        <f t="shared" si="4"/>
        <v>3</v>
      </c>
      <c r="O32" s="3" t="s">
        <v>649</v>
      </c>
      <c r="P32" s="3" t="s">
        <v>656</v>
      </c>
      <c r="Q32" s="46">
        <v>0.72291666666666665</v>
      </c>
      <c r="R32" s="47" t="s">
        <v>916</v>
      </c>
      <c r="S32" s="48">
        <v>45482</v>
      </c>
    </row>
    <row r="33" spans="1:19" x14ac:dyDescent="0.25">
      <c r="A33" s="3" t="s">
        <v>657</v>
      </c>
      <c r="B33" s="10">
        <v>1266</v>
      </c>
      <c r="C33" s="11">
        <f t="shared" si="5"/>
        <v>7.2276775519525008E-2</v>
      </c>
      <c r="E33" s="3">
        <v>1</v>
      </c>
      <c r="F33" s="3" t="s">
        <v>649</v>
      </c>
      <c r="G33" s="3" t="s">
        <v>658</v>
      </c>
      <c r="H33" s="46">
        <v>0.67708333333333337</v>
      </c>
      <c r="I33" s="47" t="s">
        <v>916</v>
      </c>
      <c r="J33" s="48">
        <v>45481</v>
      </c>
      <c r="L33" s="3">
        <f>42-31</f>
        <v>11</v>
      </c>
      <c r="M33" s="3">
        <v>3</v>
      </c>
      <c r="N33" s="3">
        <f t="shared" si="4"/>
        <v>8</v>
      </c>
      <c r="O33" s="3" t="s">
        <v>649</v>
      </c>
      <c r="P33" s="3" t="s">
        <v>658</v>
      </c>
      <c r="Q33" s="46">
        <v>0.67708333333333337</v>
      </c>
      <c r="R33" s="47" t="s">
        <v>916</v>
      </c>
      <c r="S33" s="48">
        <v>45482</v>
      </c>
    </row>
    <row r="34" spans="1:19" x14ac:dyDescent="0.25">
      <c r="A34" s="3" t="s">
        <v>659</v>
      </c>
      <c r="B34" s="10">
        <v>1041</v>
      </c>
      <c r="C34" s="11">
        <f t="shared" si="5"/>
        <v>5.9431377026718427E-2</v>
      </c>
      <c r="E34" s="3">
        <v>1</v>
      </c>
      <c r="F34" s="3" t="s">
        <v>649</v>
      </c>
      <c r="G34" s="3" t="s">
        <v>660</v>
      </c>
      <c r="H34" s="46">
        <v>0.76388888888888884</v>
      </c>
      <c r="I34" s="47" t="s">
        <v>916</v>
      </c>
      <c r="J34" s="48">
        <v>45481</v>
      </c>
      <c r="L34" s="3">
        <f>26-25</f>
        <v>1</v>
      </c>
      <c r="M34" s="3">
        <v>1</v>
      </c>
      <c r="N34" s="3">
        <f t="shared" si="4"/>
        <v>0</v>
      </c>
      <c r="O34" s="3" t="s">
        <v>649</v>
      </c>
      <c r="P34" s="3" t="s">
        <v>660</v>
      </c>
      <c r="Q34" s="46">
        <v>0.76388888888888884</v>
      </c>
      <c r="R34" s="47" t="s">
        <v>916</v>
      </c>
      <c r="S34" s="48">
        <v>45482</v>
      </c>
    </row>
    <row r="35" spans="1:19" x14ac:dyDescent="0.25">
      <c r="A35" s="3" t="s">
        <v>661</v>
      </c>
      <c r="B35" s="10">
        <v>961</v>
      </c>
      <c r="C35" s="11">
        <f t="shared" si="5"/>
        <v>5.4864124229276091E-2</v>
      </c>
      <c r="E35" s="3">
        <v>0</v>
      </c>
      <c r="F35" s="3" t="s">
        <v>649</v>
      </c>
      <c r="G35" s="3" t="s">
        <v>662</v>
      </c>
      <c r="H35" s="46">
        <v>0.69166666666666665</v>
      </c>
      <c r="I35" s="47" t="s">
        <v>916</v>
      </c>
      <c r="J35" s="48">
        <v>45481</v>
      </c>
      <c r="L35" s="3">
        <v>0</v>
      </c>
      <c r="N35" s="3">
        <f t="shared" si="4"/>
        <v>0</v>
      </c>
      <c r="O35" s="3" t="s">
        <v>649</v>
      </c>
      <c r="P35" s="3" t="s">
        <v>662</v>
      </c>
      <c r="Q35" s="46">
        <v>0.69166666666666665</v>
      </c>
      <c r="R35" s="47" t="s">
        <v>916</v>
      </c>
      <c r="S35" s="48">
        <v>45482</v>
      </c>
    </row>
    <row r="36" spans="1:19" x14ac:dyDescent="0.25">
      <c r="A36" s="3" t="s">
        <v>663</v>
      </c>
      <c r="B36" s="10">
        <v>892</v>
      </c>
      <c r="C36" s="43">
        <f t="shared" si="5"/>
        <v>5.0924868691482071E-2</v>
      </c>
      <c r="E36" s="3">
        <v>0</v>
      </c>
      <c r="F36" s="3" t="s">
        <v>650</v>
      </c>
      <c r="G36" s="3" t="s">
        <v>652</v>
      </c>
      <c r="H36" s="46">
        <v>0.71805555555555556</v>
      </c>
      <c r="I36" s="47" t="s">
        <v>916</v>
      </c>
      <c r="J36" s="48">
        <v>45481</v>
      </c>
      <c r="L36" s="3">
        <v>0</v>
      </c>
      <c r="N36" s="3">
        <f t="shared" si="4"/>
        <v>0</v>
      </c>
      <c r="O36" s="3" t="s">
        <v>650</v>
      </c>
      <c r="P36" s="3" t="s">
        <v>652</v>
      </c>
      <c r="Q36" s="46">
        <v>0.71805555555555556</v>
      </c>
      <c r="R36" s="47" t="s">
        <v>916</v>
      </c>
      <c r="S36" s="48">
        <v>45482</v>
      </c>
    </row>
    <row r="37" spans="1:19" x14ac:dyDescent="0.25">
      <c r="A37" s="3" t="s">
        <v>664</v>
      </c>
      <c r="B37" s="10">
        <v>882</v>
      </c>
      <c r="C37" s="43">
        <f t="shared" si="5"/>
        <v>5.0353962091801784E-2</v>
      </c>
      <c r="E37" s="3">
        <v>0</v>
      </c>
      <c r="F37" s="3" t="s">
        <v>650</v>
      </c>
      <c r="G37" s="3" t="s">
        <v>654</v>
      </c>
      <c r="H37" s="46">
        <v>0.72222222222222221</v>
      </c>
      <c r="I37" s="47" t="s">
        <v>916</v>
      </c>
      <c r="J37" s="48">
        <v>45481</v>
      </c>
      <c r="L37" s="3">
        <v>0</v>
      </c>
      <c r="N37" s="3">
        <f t="shared" si="4"/>
        <v>0</v>
      </c>
      <c r="O37" s="3" t="s">
        <v>650</v>
      </c>
      <c r="P37" s="3" t="s">
        <v>654</v>
      </c>
      <c r="Q37" s="46">
        <v>0.72222222222222221</v>
      </c>
      <c r="R37" s="47" t="s">
        <v>916</v>
      </c>
      <c r="S37" s="48">
        <v>45482</v>
      </c>
    </row>
    <row r="38" spans="1:19" x14ac:dyDescent="0.25">
      <c r="A38" s="14" t="s">
        <v>665</v>
      </c>
      <c r="B38" s="10">
        <v>612</v>
      </c>
      <c r="C38" s="43">
        <f t="shared" si="5"/>
        <v>3.4939483900433888E-2</v>
      </c>
      <c r="E38" s="3">
        <v>0</v>
      </c>
      <c r="F38" s="3" t="s">
        <v>650</v>
      </c>
      <c r="G38" s="3" t="s">
        <v>662</v>
      </c>
      <c r="H38" s="49">
        <v>0.68819444444444444</v>
      </c>
      <c r="I38" s="47" t="s">
        <v>916</v>
      </c>
      <c r="J38" s="48">
        <v>45481</v>
      </c>
      <c r="L38" s="3">
        <v>0</v>
      </c>
      <c r="N38" s="3">
        <f t="shared" si="4"/>
        <v>0</v>
      </c>
      <c r="O38" s="3" t="s">
        <v>650</v>
      </c>
      <c r="P38" s="3" t="s">
        <v>662</v>
      </c>
      <c r="Q38" s="49">
        <v>0.68819444444444444</v>
      </c>
      <c r="R38" s="47" t="s">
        <v>916</v>
      </c>
      <c r="S38" s="48">
        <v>45481</v>
      </c>
    </row>
    <row r="39" spans="1:19" x14ac:dyDescent="0.25">
      <c r="B39" s="21">
        <f>SUM(B29:B38)</f>
        <v>17516</v>
      </c>
      <c r="C39" s="22">
        <f t="shared" si="5"/>
        <v>1</v>
      </c>
      <c r="D39" s="18"/>
      <c r="E39" s="39">
        <f>E29*C29+E30*C30+E31*C31+E32*C32+E33*C33+E34*C34+E35*C35+E36*C36+E37*C37+E38*C38</f>
        <v>0.21032199132221968</v>
      </c>
      <c r="L39" s="39"/>
      <c r="M39" s="39"/>
      <c r="N39" s="39">
        <f>N29*$C29+N30*$C30+N31*$C31+N32*$C32+N33*$C33+N34*$C34+N35*$C35+N36*$C36+N37*$C37+N38*$C38</f>
        <v>0.81405572048412878</v>
      </c>
    </row>
    <row r="41" spans="1:19" x14ac:dyDescent="0.25">
      <c r="A41" s="9" t="s">
        <v>932</v>
      </c>
      <c r="Q41" s="46"/>
      <c r="S41" s="48"/>
    </row>
    <row r="42" spans="1:19" x14ac:dyDescent="0.25">
      <c r="A42" s="3" t="s">
        <v>666</v>
      </c>
      <c r="B42" s="10">
        <v>28179</v>
      </c>
      <c r="C42" s="11">
        <f t="shared" ref="C42:C52" si="6">B42/B$52</f>
        <v>0.33545629865955573</v>
      </c>
      <c r="E42" s="3">
        <v>0</v>
      </c>
      <c r="F42" s="3" t="s">
        <v>667</v>
      </c>
      <c r="G42" s="3" t="s">
        <v>668</v>
      </c>
      <c r="H42" s="46">
        <v>0.69444444444444442</v>
      </c>
      <c r="I42" s="47" t="s">
        <v>917</v>
      </c>
      <c r="J42" s="48">
        <v>45484</v>
      </c>
      <c r="L42" s="3">
        <v>0</v>
      </c>
      <c r="N42" s="3">
        <f t="shared" ref="N42:N51" si="7">L42-M42</f>
        <v>0</v>
      </c>
      <c r="O42" s="3" t="s">
        <v>667</v>
      </c>
      <c r="P42" s="3" t="s">
        <v>668</v>
      </c>
      <c r="Q42" s="46">
        <v>0.69444444444444442</v>
      </c>
      <c r="R42" s="47" t="s">
        <v>917</v>
      </c>
      <c r="S42" s="48">
        <v>45484</v>
      </c>
    </row>
    <row r="43" spans="1:19" x14ac:dyDescent="0.25">
      <c r="A43" s="3" t="s">
        <v>669</v>
      </c>
      <c r="B43" s="10">
        <v>13623</v>
      </c>
      <c r="C43" s="11">
        <f t="shared" si="6"/>
        <v>0.16217471012594939</v>
      </c>
      <c r="E43" s="3">
        <v>2</v>
      </c>
      <c r="F43" s="3" t="s">
        <v>667</v>
      </c>
      <c r="G43" s="3" t="s">
        <v>670</v>
      </c>
      <c r="H43" s="46">
        <v>0.68680555555555556</v>
      </c>
      <c r="I43" s="47" t="s">
        <v>917</v>
      </c>
      <c r="J43" s="48">
        <v>45484</v>
      </c>
      <c r="L43" s="3">
        <f>(49-39)+(6-1)</f>
        <v>15</v>
      </c>
      <c r="M43" s="3">
        <f>7+5</f>
        <v>12</v>
      </c>
      <c r="N43" s="3">
        <f t="shared" si="7"/>
        <v>3</v>
      </c>
      <c r="O43" s="3" t="s">
        <v>667</v>
      </c>
      <c r="P43" s="3" t="s">
        <v>670</v>
      </c>
      <c r="Q43" s="46">
        <v>0.68680555555555556</v>
      </c>
      <c r="R43" s="47" t="s">
        <v>917</v>
      </c>
      <c r="S43" s="48">
        <v>45484</v>
      </c>
    </row>
    <row r="44" spans="1:19" x14ac:dyDescent="0.25">
      <c r="A44" s="3" t="s">
        <v>671</v>
      </c>
      <c r="B44" s="10">
        <v>6178</v>
      </c>
      <c r="C44" s="11">
        <f t="shared" si="6"/>
        <v>7.3545867955524868E-2</v>
      </c>
      <c r="E44" s="3">
        <v>2</v>
      </c>
      <c r="F44" s="3" t="s">
        <v>667</v>
      </c>
      <c r="G44" s="3" t="s">
        <v>672</v>
      </c>
      <c r="H44" s="46">
        <v>0.70138888888888884</v>
      </c>
      <c r="I44" s="47" t="s">
        <v>917</v>
      </c>
      <c r="J44" s="48">
        <v>45484</v>
      </c>
      <c r="L44" s="3">
        <f>(5-4)+(30-25)</f>
        <v>6</v>
      </c>
      <c r="M44" s="3">
        <f>1+2</f>
        <v>3</v>
      </c>
      <c r="N44" s="3">
        <f t="shared" si="7"/>
        <v>3</v>
      </c>
      <c r="O44" s="3" t="s">
        <v>667</v>
      </c>
      <c r="P44" s="3" t="s">
        <v>672</v>
      </c>
      <c r="Q44" s="46">
        <v>0.70138888888888884</v>
      </c>
      <c r="R44" s="47" t="s">
        <v>917</v>
      </c>
      <c r="S44" s="48">
        <v>45484</v>
      </c>
    </row>
    <row r="45" spans="1:19" x14ac:dyDescent="0.25">
      <c r="A45" s="3" t="s">
        <v>673</v>
      </c>
      <c r="B45" s="10">
        <v>6097</v>
      </c>
      <c r="C45" s="11">
        <f t="shared" si="6"/>
        <v>7.2581605199876192E-2</v>
      </c>
      <c r="E45" s="3">
        <v>2</v>
      </c>
      <c r="F45" s="3" t="s">
        <v>667</v>
      </c>
      <c r="G45" s="3" t="s">
        <v>674</v>
      </c>
      <c r="H45" s="46">
        <v>0.69166666666666665</v>
      </c>
      <c r="I45" s="47" t="s">
        <v>917</v>
      </c>
      <c r="J45" s="48">
        <v>45484</v>
      </c>
      <c r="L45" s="3">
        <f>(53-46)+(19-14)</f>
        <v>12</v>
      </c>
      <c r="M45" s="3">
        <f>6+4</f>
        <v>10</v>
      </c>
      <c r="N45" s="3">
        <f t="shared" si="7"/>
        <v>2</v>
      </c>
      <c r="O45" s="3" t="s">
        <v>667</v>
      </c>
      <c r="P45" s="3" t="s">
        <v>674</v>
      </c>
      <c r="Q45" s="46">
        <v>0.69166666666666665</v>
      </c>
      <c r="R45" s="47" t="s">
        <v>917</v>
      </c>
      <c r="S45" s="48">
        <v>45484</v>
      </c>
    </row>
    <row r="46" spans="1:19" x14ac:dyDescent="0.25">
      <c r="A46" s="3" t="s">
        <v>675</v>
      </c>
      <c r="B46" s="10">
        <v>5784</v>
      </c>
      <c r="C46" s="11">
        <f t="shared" si="6"/>
        <v>6.8855503440394275E-2</v>
      </c>
      <c r="E46" s="3">
        <v>0</v>
      </c>
      <c r="F46" s="3" t="s">
        <v>676</v>
      </c>
      <c r="G46" s="3" t="s">
        <v>677</v>
      </c>
      <c r="H46" s="46">
        <v>0.69097222222222221</v>
      </c>
      <c r="I46" s="47" t="s">
        <v>917</v>
      </c>
      <c r="J46" s="48">
        <v>45484</v>
      </c>
      <c r="L46" s="3">
        <v>0</v>
      </c>
      <c r="N46" s="3">
        <f t="shared" si="7"/>
        <v>0</v>
      </c>
      <c r="O46" s="3" t="s">
        <v>676</v>
      </c>
      <c r="P46" s="3" t="s">
        <v>677</v>
      </c>
      <c r="Q46" s="46">
        <v>0.69097222222222221</v>
      </c>
      <c r="R46" s="47" t="s">
        <v>917</v>
      </c>
      <c r="S46" s="48">
        <v>45484</v>
      </c>
    </row>
    <row r="47" spans="1:19" x14ac:dyDescent="0.25">
      <c r="A47" s="3" t="s">
        <v>678</v>
      </c>
      <c r="B47" s="10">
        <v>5570</v>
      </c>
      <c r="C47" s="11">
        <f t="shared" si="6"/>
        <v>6.6307945048927411E-2</v>
      </c>
      <c r="E47" s="3">
        <v>1</v>
      </c>
      <c r="F47" s="3" t="s">
        <v>670</v>
      </c>
      <c r="G47" s="3" t="s">
        <v>679</v>
      </c>
      <c r="H47" s="49">
        <v>0.69791666666666663</v>
      </c>
      <c r="I47" s="47" t="s">
        <v>917</v>
      </c>
      <c r="J47" s="48">
        <v>45484</v>
      </c>
      <c r="L47" s="3">
        <f>16-12</f>
        <v>4</v>
      </c>
      <c r="M47" s="3">
        <v>2</v>
      </c>
      <c r="N47" s="3">
        <f t="shared" si="7"/>
        <v>2</v>
      </c>
      <c r="O47" s="3" t="s">
        <v>670</v>
      </c>
      <c r="P47" s="3" t="s">
        <v>679</v>
      </c>
      <c r="Q47" s="49">
        <v>0.69791666666666663</v>
      </c>
      <c r="R47" s="47" t="s">
        <v>917</v>
      </c>
      <c r="S47" s="48">
        <v>45484</v>
      </c>
    </row>
    <row r="48" spans="1:19" x14ac:dyDescent="0.25">
      <c r="A48" s="3" t="s">
        <v>680</v>
      </c>
      <c r="B48" s="10">
        <v>5518</v>
      </c>
      <c r="C48" s="11">
        <f t="shared" si="6"/>
        <v>6.5688912168757885E-2</v>
      </c>
      <c r="E48" s="3">
        <v>2</v>
      </c>
      <c r="F48" s="3" t="s">
        <v>676</v>
      </c>
      <c r="G48" s="3" t="s">
        <v>681</v>
      </c>
      <c r="H48" s="49">
        <v>0.69791666666666663</v>
      </c>
      <c r="I48" s="47" t="s">
        <v>917</v>
      </c>
      <c r="J48" s="48">
        <v>45484</v>
      </c>
      <c r="L48" s="3">
        <f>(63-50)+(23-14)</f>
        <v>22</v>
      </c>
      <c r="M48" s="3">
        <f>6+5</f>
        <v>11</v>
      </c>
      <c r="N48" s="3">
        <f t="shared" si="7"/>
        <v>11</v>
      </c>
      <c r="O48" s="3" t="s">
        <v>676</v>
      </c>
      <c r="P48" s="3" t="s">
        <v>681</v>
      </c>
      <c r="Q48" s="49">
        <v>0.69791666666666663</v>
      </c>
      <c r="R48" s="47" t="s">
        <v>917</v>
      </c>
      <c r="S48" s="48">
        <v>45484</v>
      </c>
    </row>
    <row r="49" spans="1:19" x14ac:dyDescent="0.25">
      <c r="A49" s="3" t="s">
        <v>682</v>
      </c>
      <c r="B49" s="10">
        <v>4859</v>
      </c>
      <c r="C49" s="11">
        <f t="shared" si="6"/>
        <v>5.7843860860455704E-2</v>
      </c>
      <c r="E49" s="3">
        <v>2</v>
      </c>
      <c r="F49" s="3" t="s">
        <v>667</v>
      </c>
      <c r="G49" s="3" t="s">
        <v>683</v>
      </c>
      <c r="H49" s="46">
        <v>0.69722222222222219</v>
      </c>
      <c r="I49" s="47" t="s">
        <v>917</v>
      </c>
      <c r="J49" s="48">
        <v>45484</v>
      </c>
      <c r="L49" s="3">
        <f>(59-52)+(18-9)</f>
        <v>16</v>
      </c>
      <c r="M49" s="3">
        <f>3+5</f>
        <v>8</v>
      </c>
      <c r="N49" s="3">
        <f t="shared" si="7"/>
        <v>8</v>
      </c>
      <c r="O49" s="3" t="s">
        <v>667</v>
      </c>
      <c r="P49" s="3" t="s">
        <v>683</v>
      </c>
      <c r="Q49" s="46">
        <v>0.69722222222222219</v>
      </c>
      <c r="R49" s="47" t="s">
        <v>917</v>
      </c>
      <c r="S49" s="48">
        <v>45484</v>
      </c>
    </row>
    <row r="50" spans="1:19" x14ac:dyDescent="0.25">
      <c r="A50" s="3" t="s">
        <v>684</v>
      </c>
      <c r="B50" s="10">
        <v>4253</v>
      </c>
      <c r="C50" s="11">
        <f t="shared" si="6"/>
        <v>5.0629746910787837E-2</v>
      </c>
      <c r="E50" s="3">
        <v>0</v>
      </c>
      <c r="F50" s="3" t="s">
        <v>670</v>
      </c>
      <c r="G50" s="3" t="s">
        <v>685</v>
      </c>
      <c r="H50" s="46">
        <v>0.69305555555555554</v>
      </c>
      <c r="I50" s="47" t="s">
        <v>917</v>
      </c>
      <c r="J50" s="48">
        <v>45484</v>
      </c>
      <c r="L50" s="3">
        <v>0</v>
      </c>
      <c r="N50" s="3">
        <f t="shared" si="7"/>
        <v>0</v>
      </c>
      <c r="O50" s="3" t="s">
        <v>670</v>
      </c>
      <c r="P50" s="3" t="s">
        <v>685</v>
      </c>
      <c r="Q50" s="46">
        <v>0.69305555555555554</v>
      </c>
      <c r="R50" s="47" t="s">
        <v>917</v>
      </c>
      <c r="S50" s="48">
        <v>45484</v>
      </c>
    </row>
    <row r="51" spans="1:19" x14ac:dyDescent="0.25">
      <c r="A51" s="14" t="s">
        <v>686</v>
      </c>
      <c r="B51" s="10">
        <v>3941</v>
      </c>
      <c r="C51" s="11">
        <f t="shared" si="6"/>
        <v>4.6915549629770723E-2</v>
      </c>
      <c r="E51" s="3">
        <v>1</v>
      </c>
      <c r="F51" s="3" t="s">
        <v>670</v>
      </c>
      <c r="G51" s="3" t="s">
        <v>687</v>
      </c>
      <c r="H51" s="46">
        <v>0.69097222222222221</v>
      </c>
      <c r="I51" s="47" t="s">
        <v>917</v>
      </c>
      <c r="J51" s="48">
        <v>45484</v>
      </c>
      <c r="L51" s="3">
        <f>7-4</f>
        <v>3</v>
      </c>
      <c r="M51" s="3">
        <v>2</v>
      </c>
      <c r="N51" s="3">
        <f t="shared" si="7"/>
        <v>1</v>
      </c>
      <c r="O51" s="3" t="s">
        <v>670</v>
      </c>
      <c r="P51" s="3" t="s">
        <v>687</v>
      </c>
      <c r="Q51" s="46">
        <v>0.69097222222222221</v>
      </c>
      <c r="R51" s="47" t="s">
        <v>917</v>
      </c>
      <c r="S51" s="48">
        <v>45484</v>
      </c>
    </row>
    <row r="52" spans="1:19" x14ac:dyDescent="0.25">
      <c r="B52" s="21">
        <f>SUM(B42:B51)</f>
        <v>84002</v>
      </c>
      <c r="C52" s="22">
        <f t="shared" si="6"/>
        <v>1</v>
      </c>
      <c r="D52" s="18"/>
      <c r="E52" s="39">
        <f>E42*C42+E43*C43+E44*C44+E45*C45+E46*C46+E47*C47+E48*C48+E49*C49+E50*C50+E51*C51</f>
        <v>0.97689340729982621</v>
      </c>
      <c r="L52" s="39"/>
      <c r="M52" s="39"/>
      <c r="N52" s="39">
        <f>N42*$C42+N43*$C43+N44*$C44+N45*$C45+N46*$C46+N47*$C47+N48*$C48+N49*$C49+N50*$C50+N51*$C51</f>
        <v>2.2171853051117831</v>
      </c>
    </row>
    <row r="54" spans="1:19" x14ac:dyDescent="0.25">
      <c r="A54" s="9" t="s">
        <v>933</v>
      </c>
    </row>
    <row r="55" spans="1:19" x14ac:dyDescent="0.25">
      <c r="A55" s="3" t="s">
        <v>688</v>
      </c>
      <c r="B55" s="10">
        <f>3374+2505</f>
        <v>5879</v>
      </c>
      <c r="C55" s="26">
        <f t="shared" ref="C55:C64" si="8">B55/B$65</f>
        <v>0.14721422311255791</v>
      </c>
      <c r="E55" s="3">
        <v>0</v>
      </c>
      <c r="F55" s="3" t="s">
        <v>689</v>
      </c>
      <c r="G55" s="3" t="s">
        <v>690</v>
      </c>
      <c r="H55" s="46">
        <v>0.68194444444444446</v>
      </c>
      <c r="I55" s="47" t="s">
        <v>918</v>
      </c>
      <c r="J55" s="48">
        <v>45485</v>
      </c>
      <c r="L55" s="3">
        <v>0</v>
      </c>
      <c r="N55" s="3">
        <f t="shared" ref="N55:N60" si="9">L55-M55</f>
        <v>0</v>
      </c>
      <c r="O55" s="3" t="s">
        <v>689</v>
      </c>
      <c r="P55" s="3" t="s">
        <v>690</v>
      </c>
      <c r="Q55" s="46">
        <v>0.68194444444444446</v>
      </c>
      <c r="R55" s="47" t="s">
        <v>918</v>
      </c>
      <c r="S55" s="48">
        <v>45485</v>
      </c>
    </row>
    <row r="56" spans="1:19" x14ac:dyDescent="0.25">
      <c r="A56" s="3" t="s">
        <v>691</v>
      </c>
      <c r="B56" s="10">
        <f>2762+2022</f>
        <v>4784</v>
      </c>
      <c r="C56" s="26">
        <f t="shared" si="8"/>
        <v>0.11979466633279079</v>
      </c>
      <c r="E56" s="3">
        <v>0</v>
      </c>
      <c r="F56" s="3" t="s">
        <v>692</v>
      </c>
      <c r="G56" s="3" t="s">
        <v>693</v>
      </c>
      <c r="H56" s="46">
        <v>0.71180555555555558</v>
      </c>
      <c r="I56" s="47" t="s">
        <v>918</v>
      </c>
      <c r="J56" s="48">
        <v>45485</v>
      </c>
      <c r="L56" s="3">
        <v>0</v>
      </c>
      <c r="N56" s="3">
        <f t="shared" si="9"/>
        <v>0</v>
      </c>
      <c r="O56" s="3" t="s">
        <v>692</v>
      </c>
      <c r="P56" s="3" t="s">
        <v>693</v>
      </c>
      <c r="Q56" s="46">
        <v>0.71180555555555558</v>
      </c>
      <c r="R56" s="47" t="s">
        <v>918</v>
      </c>
      <c r="S56" s="48">
        <v>45485</v>
      </c>
    </row>
    <row r="57" spans="1:19" x14ac:dyDescent="0.25">
      <c r="A57" s="3" t="s">
        <v>694</v>
      </c>
      <c r="B57" s="10">
        <f>3012+1464</f>
        <v>4476</v>
      </c>
      <c r="C57" s="26">
        <f t="shared" si="8"/>
        <v>0.11208213346688368</v>
      </c>
      <c r="E57" s="3">
        <v>1</v>
      </c>
      <c r="F57" s="3" t="s">
        <v>695</v>
      </c>
      <c r="G57" s="3" t="s">
        <v>696</v>
      </c>
      <c r="H57" s="46">
        <v>0.6958333333333333</v>
      </c>
      <c r="I57" s="47" t="s">
        <v>919</v>
      </c>
      <c r="J57" s="48">
        <v>45485</v>
      </c>
      <c r="L57" s="3">
        <f>7-5</f>
        <v>2</v>
      </c>
      <c r="M57" s="3">
        <v>2</v>
      </c>
      <c r="N57" s="3">
        <f t="shared" si="9"/>
        <v>0</v>
      </c>
      <c r="O57" s="3" t="s">
        <v>695</v>
      </c>
      <c r="P57" s="3" t="s">
        <v>696</v>
      </c>
      <c r="Q57" s="46">
        <v>0.6958333333333333</v>
      </c>
      <c r="R57" s="47" t="s">
        <v>919</v>
      </c>
      <c r="S57" s="48">
        <v>45485</v>
      </c>
    </row>
    <row r="58" spans="1:19" x14ac:dyDescent="0.25">
      <c r="A58" s="3" t="s">
        <v>697</v>
      </c>
      <c r="B58" s="10">
        <f>2827+1359</f>
        <v>4186</v>
      </c>
      <c r="C58" s="26">
        <f t="shared" si="8"/>
        <v>0.10482033304119194</v>
      </c>
      <c r="E58" s="3">
        <v>0</v>
      </c>
      <c r="F58" s="3" t="s">
        <v>698</v>
      </c>
      <c r="G58" s="3" t="s">
        <v>699</v>
      </c>
      <c r="H58" s="46">
        <v>0.68680555555555556</v>
      </c>
      <c r="I58" s="47" t="s">
        <v>918</v>
      </c>
      <c r="J58" s="48">
        <v>45485</v>
      </c>
      <c r="L58" s="3">
        <v>0</v>
      </c>
      <c r="N58" s="3">
        <f t="shared" si="9"/>
        <v>0</v>
      </c>
      <c r="O58" s="3" t="s">
        <v>698</v>
      </c>
      <c r="P58" s="3" t="s">
        <v>699</v>
      </c>
      <c r="Q58" s="46">
        <v>0.68680555555555556</v>
      </c>
      <c r="R58" s="47" t="s">
        <v>918</v>
      </c>
      <c r="S58" s="48">
        <v>45485</v>
      </c>
    </row>
    <row r="59" spans="1:19" x14ac:dyDescent="0.25">
      <c r="A59" s="3" t="s">
        <v>700</v>
      </c>
      <c r="B59" s="10">
        <f>2428+1259</f>
        <v>3687</v>
      </c>
      <c r="C59" s="26">
        <f t="shared" si="8"/>
        <v>9.2325028170777507E-2</v>
      </c>
      <c r="E59" s="3">
        <v>0</v>
      </c>
      <c r="F59" s="3" t="s">
        <v>696</v>
      </c>
      <c r="G59" s="3" t="s">
        <v>701</v>
      </c>
      <c r="H59" s="46">
        <v>0.67986111111111114</v>
      </c>
      <c r="I59" s="47" t="s">
        <v>919</v>
      </c>
      <c r="J59" s="48">
        <v>45485</v>
      </c>
      <c r="L59" s="3">
        <v>0</v>
      </c>
      <c r="N59" s="3">
        <f t="shared" si="9"/>
        <v>0</v>
      </c>
      <c r="O59" s="3" t="s">
        <v>696</v>
      </c>
      <c r="P59" s="3" t="s">
        <v>701</v>
      </c>
      <c r="Q59" s="46">
        <v>0.67986111111111114</v>
      </c>
      <c r="R59" s="47" t="s">
        <v>919</v>
      </c>
      <c r="S59" s="48">
        <v>45485</v>
      </c>
    </row>
    <row r="60" spans="1:19" x14ac:dyDescent="0.25">
      <c r="A60" s="3" t="s">
        <v>702</v>
      </c>
      <c r="B60" s="10">
        <f>1837+1811</f>
        <v>3648</v>
      </c>
      <c r="C60" s="26">
        <f t="shared" si="8"/>
        <v>9.1348441216977591E-2</v>
      </c>
      <c r="E60" s="3">
        <v>1</v>
      </c>
      <c r="F60" s="3" t="s">
        <v>692</v>
      </c>
      <c r="G60" s="3" t="s">
        <v>703</v>
      </c>
      <c r="H60" s="46">
        <v>0.69861111111111107</v>
      </c>
      <c r="I60" s="47" t="s">
        <v>918</v>
      </c>
      <c r="J60" s="48">
        <v>45485</v>
      </c>
      <c r="L60" s="3">
        <f>58-51</f>
        <v>7</v>
      </c>
      <c r="M60" s="3">
        <v>2</v>
      </c>
      <c r="N60" s="3">
        <f t="shared" si="9"/>
        <v>5</v>
      </c>
      <c r="O60" s="3" t="s">
        <v>692</v>
      </c>
      <c r="P60" s="3" t="s">
        <v>703</v>
      </c>
      <c r="Q60" s="46">
        <v>0.69861111111111107</v>
      </c>
      <c r="R60" s="47" t="s">
        <v>918</v>
      </c>
      <c r="S60" s="48">
        <v>45485</v>
      </c>
    </row>
    <row r="61" spans="1:19" x14ac:dyDescent="0.25">
      <c r="A61" s="3" t="s">
        <v>704</v>
      </c>
      <c r="B61" s="10">
        <f>2094+1375</f>
        <v>3469</v>
      </c>
      <c r="C61" s="26">
        <f t="shared" si="8"/>
        <v>8.6866157505947159E-2</v>
      </c>
      <c r="E61" s="3">
        <v>0</v>
      </c>
      <c r="F61" s="3" t="s">
        <v>689</v>
      </c>
      <c r="G61" s="3" t="s">
        <v>690</v>
      </c>
      <c r="H61" s="46">
        <v>0.68194444444444446</v>
      </c>
      <c r="I61" s="47" t="s">
        <v>919</v>
      </c>
      <c r="J61" s="48">
        <v>45485</v>
      </c>
      <c r="L61" s="3">
        <v>0</v>
      </c>
      <c r="N61" s="3">
        <f>L61-M61</f>
        <v>0</v>
      </c>
      <c r="O61" s="3" t="s">
        <v>689</v>
      </c>
      <c r="P61" s="3" t="s">
        <v>690</v>
      </c>
      <c r="Q61" s="46">
        <v>0.68194444444444446</v>
      </c>
      <c r="R61" s="47" t="s">
        <v>919</v>
      </c>
      <c r="S61" s="48">
        <v>45485</v>
      </c>
    </row>
    <row r="62" spans="1:19" x14ac:dyDescent="0.25">
      <c r="A62" s="3" t="s">
        <v>705</v>
      </c>
      <c r="B62" s="10">
        <f>1185+2181</f>
        <v>3366</v>
      </c>
      <c r="C62" s="26">
        <f t="shared" si="8"/>
        <v>8.428696632027044E-2</v>
      </c>
      <c r="E62" s="3">
        <v>1</v>
      </c>
      <c r="F62" s="3" t="s">
        <v>706</v>
      </c>
      <c r="G62" s="3" t="s">
        <v>707</v>
      </c>
      <c r="H62" s="46">
        <v>0.68194444444444446</v>
      </c>
      <c r="I62" s="47" t="s">
        <v>918</v>
      </c>
      <c r="J62" s="48">
        <v>45485</v>
      </c>
      <c r="L62" s="3">
        <f>50-38</f>
        <v>12</v>
      </c>
      <c r="M62" s="3">
        <v>2</v>
      </c>
      <c r="N62" s="3">
        <f>L62-M62</f>
        <v>10</v>
      </c>
      <c r="O62" s="3" t="s">
        <v>706</v>
      </c>
      <c r="P62" s="3" t="s">
        <v>707</v>
      </c>
      <c r="Q62" s="46">
        <v>0.68194444444444446</v>
      </c>
      <c r="R62" s="47" t="s">
        <v>918</v>
      </c>
      <c r="S62" s="48">
        <v>45485</v>
      </c>
    </row>
    <row r="63" spans="1:19" x14ac:dyDescent="0.25">
      <c r="A63" s="3" t="s">
        <v>708</v>
      </c>
      <c r="B63" s="10">
        <f>1812+1520</f>
        <v>3332</v>
      </c>
      <c r="C63" s="26">
        <f t="shared" si="8"/>
        <v>8.3435582822085894E-2</v>
      </c>
      <c r="E63" s="3">
        <v>0</v>
      </c>
      <c r="F63" s="3" t="s">
        <v>707</v>
      </c>
      <c r="G63" s="3" t="s">
        <v>709</v>
      </c>
      <c r="H63" s="46">
        <v>0.68402777777777779</v>
      </c>
      <c r="I63" s="47" t="s">
        <v>918</v>
      </c>
      <c r="J63" s="48">
        <v>45485</v>
      </c>
      <c r="L63" s="3">
        <v>0</v>
      </c>
      <c r="N63" s="3">
        <f>L63-M63</f>
        <v>0</v>
      </c>
      <c r="O63" s="3" t="s">
        <v>707</v>
      </c>
      <c r="P63" s="3" t="s">
        <v>709</v>
      </c>
      <c r="Q63" s="46">
        <v>0.68402777777777779</v>
      </c>
      <c r="R63" s="47" t="s">
        <v>918</v>
      </c>
      <c r="S63" s="48">
        <v>45485</v>
      </c>
    </row>
    <row r="64" spans="1:19" x14ac:dyDescent="0.25">
      <c r="A64" s="3" t="s">
        <v>710</v>
      </c>
      <c r="B64" s="10">
        <f>1201+1907</f>
        <v>3108</v>
      </c>
      <c r="C64" s="26">
        <f t="shared" si="8"/>
        <v>7.7826468010517097E-2</v>
      </c>
      <c r="E64" s="3">
        <v>1</v>
      </c>
      <c r="F64" s="3" t="s">
        <v>711</v>
      </c>
      <c r="G64" s="3" t="s">
        <v>712</v>
      </c>
      <c r="H64" s="46">
        <v>0.68194444444444446</v>
      </c>
      <c r="I64" s="47" t="s">
        <v>918</v>
      </c>
      <c r="J64" s="48">
        <v>45485</v>
      </c>
      <c r="L64" s="3">
        <f>30-24</f>
        <v>6</v>
      </c>
      <c r="N64" s="3">
        <f>L64-M64</f>
        <v>6</v>
      </c>
      <c r="O64" s="3" t="s">
        <v>711</v>
      </c>
      <c r="P64" s="3" t="s">
        <v>712</v>
      </c>
      <c r="Q64" s="46">
        <v>0.68194444444444446</v>
      </c>
      <c r="R64" s="47" t="s">
        <v>918</v>
      </c>
      <c r="S64" s="48">
        <v>45485</v>
      </c>
    </row>
    <row r="65" spans="1:19" x14ac:dyDescent="0.25">
      <c r="A65" s="18"/>
      <c r="B65" s="21">
        <f>SUM(B55:B64)</f>
        <v>39935</v>
      </c>
      <c r="C65" s="22">
        <f>B65/B$65</f>
        <v>1</v>
      </c>
      <c r="D65" s="18"/>
      <c r="E65" s="39">
        <f>E55*C55+E56*C56+E57*C57+E58*C58+E59*C59+E60*C60+E61*C61+E62*C62+E63*C63+E64*C64</f>
        <v>0.36554400901464879</v>
      </c>
      <c r="L65" s="39"/>
      <c r="M65" s="39"/>
      <c r="N65" s="39">
        <f>N55*$C55+N56*$C56+N57*$C57+N58*$C58+N59*$C59+N60*$C60+N61*$C61+N62*$C62+N63*$C63+N64*$C64</f>
        <v>1.7665706773506951</v>
      </c>
    </row>
    <row r="67" spans="1:19" x14ac:dyDescent="0.25">
      <c r="A67" s="9" t="s">
        <v>934</v>
      </c>
    </row>
    <row r="68" spans="1:19" x14ac:dyDescent="0.25">
      <c r="A68" s="3" t="s">
        <v>688</v>
      </c>
      <c r="B68" s="10">
        <f>3374+2505</f>
        <v>5879</v>
      </c>
      <c r="C68" s="11">
        <f t="shared" ref="C68:C77" si="10">B68/B$78</f>
        <v>0.17308484955543779</v>
      </c>
      <c r="E68" s="3">
        <v>0</v>
      </c>
      <c r="F68" s="3" t="s">
        <v>689</v>
      </c>
      <c r="G68" s="3" t="s">
        <v>690</v>
      </c>
      <c r="H68" s="46">
        <v>0.68194444444444446</v>
      </c>
      <c r="I68" s="47" t="s">
        <v>918</v>
      </c>
      <c r="J68" s="48">
        <v>45485</v>
      </c>
      <c r="L68" s="3">
        <v>0</v>
      </c>
      <c r="N68" s="3">
        <f t="shared" ref="N68:N77" si="11">L68-M68</f>
        <v>0</v>
      </c>
      <c r="O68" s="3" t="s">
        <v>689</v>
      </c>
      <c r="P68" s="3" t="s">
        <v>690</v>
      </c>
      <c r="Q68" s="46">
        <v>0.68194444444444446</v>
      </c>
      <c r="R68" s="47" t="s">
        <v>918</v>
      </c>
      <c r="S68" s="48">
        <v>45485</v>
      </c>
    </row>
    <row r="69" spans="1:19" x14ac:dyDescent="0.25">
      <c r="A69" s="3" t="s">
        <v>704</v>
      </c>
      <c r="B69" s="10">
        <f>2094+1375</f>
        <v>3469</v>
      </c>
      <c r="C69" s="11">
        <f t="shared" si="10"/>
        <v>0.1021315433080139</v>
      </c>
      <c r="E69" s="3">
        <v>0</v>
      </c>
      <c r="F69" s="3" t="s">
        <v>689</v>
      </c>
      <c r="G69" s="3" t="s">
        <v>690</v>
      </c>
      <c r="H69" s="46">
        <v>0.68194444444444446</v>
      </c>
      <c r="I69" s="47" t="s">
        <v>919</v>
      </c>
      <c r="J69" s="48">
        <v>45485</v>
      </c>
      <c r="L69" s="3">
        <v>0</v>
      </c>
      <c r="N69" s="3">
        <f>L69-M69</f>
        <v>0</v>
      </c>
      <c r="O69" s="3" t="s">
        <v>689</v>
      </c>
      <c r="P69" s="3" t="s">
        <v>690</v>
      </c>
      <c r="Q69" s="46">
        <v>0.68194444444444446</v>
      </c>
      <c r="R69" s="47" t="s">
        <v>919</v>
      </c>
      <c r="S69" s="48">
        <v>45485</v>
      </c>
    </row>
    <row r="70" spans="1:19" x14ac:dyDescent="0.25">
      <c r="A70" s="3" t="s">
        <v>705</v>
      </c>
      <c r="B70" s="10">
        <f>1185+2181</f>
        <v>3366</v>
      </c>
      <c r="C70" s="11">
        <f>B70/B$78</f>
        <v>9.90990990990991E-2</v>
      </c>
      <c r="E70" s="3">
        <v>1</v>
      </c>
      <c r="F70" s="3" t="s">
        <v>706</v>
      </c>
      <c r="G70" s="3" t="s">
        <v>707</v>
      </c>
      <c r="H70" s="46">
        <v>0.68194444444444446</v>
      </c>
      <c r="I70" s="47" t="s">
        <v>918</v>
      </c>
      <c r="J70" s="48">
        <v>45485</v>
      </c>
      <c r="L70" s="3">
        <f>50-38</f>
        <v>12</v>
      </c>
      <c r="M70" s="3">
        <v>2</v>
      </c>
      <c r="N70" s="3">
        <f t="shared" si="11"/>
        <v>10</v>
      </c>
      <c r="O70" s="3" t="s">
        <v>706</v>
      </c>
      <c r="P70" s="3" t="s">
        <v>707</v>
      </c>
      <c r="Q70" s="46">
        <v>0.68194444444444446</v>
      </c>
      <c r="R70" s="47" t="s">
        <v>918</v>
      </c>
      <c r="S70" s="48">
        <v>45485</v>
      </c>
    </row>
    <row r="71" spans="1:19" x14ac:dyDescent="0.25">
      <c r="A71" s="3" t="s">
        <v>708</v>
      </c>
      <c r="B71" s="10">
        <f>1812+1520</f>
        <v>3332</v>
      </c>
      <c r="C71" s="11">
        <f t="shared" si="10"/>
        <v>9.8098098098098094E-2</v>
      </c>
      <c r="E71" s="3">
        <v>0</v>
      </c>
      <c r="F71" s="3" t="s">
        <v>707</v>
      </c>
      <c r="G71" s="3" t="s">
        <v>709</v>
      </c>
      <c r="H71" s="46">
        <v>0.68402777777777779</v>
      </c>
      <c r="I71" s="47" t="s">
        <v>918</v>
      </c>
      <c r="J71" s="48">
        <v>45485</v>
      </c>
      <c r="L71" s="3">
        <v>0</v>
      </c>
      <c r="N71" s="3">
        <f t="shared" si="11"/>
        <v>0</v>
      </c>
      <c r="O71" s="3" t="s">
        <v>707</v>
      </c>
      <c r="P71" s="3" t="s">
        <v>709</v>
      </c>
      <c r="Q71" s="46">
        <v>0.68402777777777779</v>
      </c>
      <c r="R71" s="47" t="s">
        <v>918</v>
      </c>
      <c r="S71" s="48">
        <v>45485</v>
      </c>
    </row>
    <row r="72" spans="1:19" x14ac:dyDescent="0.25">
      <c r="A72" s="3" t="s">
        <v>710</v>
      </c>
      <c r="B72" s="10">
        <f>1201+1907</f>
        <v>3108</v>
      </c>
      <c r="C72" s="11">
        <f t="shared" si="10"/>
        <v>9.1503267973856203E-2</v>
      </c>
      <c r="E72" s="3">
        <v>1</v>
      </c>
      <c r="F72" s="3" t="s">
        <v>711</v>
      </c>
      <c r="G72" s="3" t="s">
        <v>712</v>
      </c>
      <c r="H72" s="46">
        <v>0.68194444444444446</v>
      </c>
      <c r="I72" s="47" t="s">
        <v>918</v>
      </c>
      <c r="J72" s="48">
        <v>45485</v>
      </c>
      <c r="L72" s="3">
        <f>30-24</f>
        <v>6</v>
      </c>
      <c r="N72" s="3">
        <f t="shared" si="11"/>
        <v>6</v>
      </c>
      <c r="O72" s="3" t="s">
        <v>711</v>
      </c>
      <c r="P72" s="3" t="s">
        <v>712</v>
      </c>
      <c r="Q72" s="46">
        <v>0.68194444444444446</v>
      </c>
      <c r="R72" s="47" t="s">
        <v>918</v>
      </c>
      <c r="S72" s="48">
        <v>45485</v>
      </c>
    </row>
    <row r="73" spans="1:19" x14ac:dyDescent="0.25">
      <c r="A73" s="3" t="s">
        <v>713</v>
      </c>
      <c r="B73" s="10">
        <f>1702+1360</f>
        <v>3062</v>
      </c>
      <c r="C73" s="11">
        <f t="shared" si="10"/>
        <v>9.0148972501913685E-2</v>
      </c>
      <c r="E73" s="3">
        <v>1</v>
      </c>
      <c r="F73" s="3" t="s">
        <v>714</v>
      </c>
      <c r="G73" s="3" t="s">
        <v>715</v>
      </c>
      <c r="H73" s="46">
        <v>0.6875</v>
      </c>
      <c r="I73" s="47" t="s">
        <v>918</v>
      </c>
      <c r="J73" s="48">
        <v>45485</v>
      </c>
      <c r="L73" s="3">
        <f>55-50</f>
        <v>5</v>
      </c>
      <c r="M73" s="3">
        <v>2</v>
      </c>
      <c r="N73" s="3">
        <f t="shared" si="11"/>
        <v>3</v>
      </c>
      <c r="O73" s="3" t="s">
        <v>714</v>
      </c>
      <c r="P73" s="3" t="s">
        <v>715</v>
      </c>
      <c r="Q73" s="46">
        <v>0.6875</v>
      </c>
      <c r="R73" s="47" t="s">
        <v>918</v>
      </c>
      <c r="S73" s="48">
        <v>45485</v>
      </c>
    </row>
    <row r="74" spans="1:19" x14ac:dyDescent="0.25">
      <c r="A74" s="3" t="s">
        <v>716</v>
      </c>
      <c r="B74" s="10">
        <f>1827+1174</f>
        <v>3001</v>
      </c>
      <c r="C74" s="11">
        <f t="shared" si="10"/>
        <v>8.8353058941294235E-2</v>
      </c>
      <c r="E74" s="3">
        <v>1</v>
      </c>
      <c r="F74" s="3" t="s">
        <v>717</v>
      </c>
      <c r="G74" s="3" t="s">
        <v>718</v>
      </c>
      <c r="H74" s="46">
        <v>0.75624999999999998</v>
      </c>
      <c r="I74" s="47" t="s">
        <v>918</v>
      </c>
      <c r="J74" s="48">
        <v>45485</v>
      </c>
      <c r="L74" s="3">
        <f>22-13</f>
        <v>9</v>
      </c>
      <c r="N74" s="3">
        <f t="shared" si="11"/>
        <v>9</v>
      </c>
      <c r="O74" s="3" t="s">
        <v>717</v>
      </c>
      <c r="P74" s="3" t="s">
        <v>718</v>
      </c>
      <c r="Q74" s="46">
        <v>0.75624999999999998</v>
      </c>
      <c r="R74" s="47" t="s">
        <v>918</v>
      </c>
      <c r="S74" s="48">
        <v>45485</v>
      </c>
    </row>
    <row r="75" spans="1:19" x14ac:dyDescent="0.25">
      <c r="A75" s="3" t="s">
        <v>719</v>
      </c>
      <c r="B75" s="10">
        <f>2038+919</f>
        <v>2957</v>
      </c>
      <c r="C75" s="11">
        <f t="shared" si="10"/>
        <v>8.7057645881175288E-2</v>
      </c>
      <c r="E75" s="3">
        <v>1</v>
      </c>
      <c r="F75" s="3" t="s">
        <v>720</v>
      </c>
      <c r="G75" s="3" t="s">
        <v>721</v>
      </c>
      <c r="H75" s="46">
        <v>0.7104166666666667</v>
      </c>
      <c r="I75" s="47" t="s">
        <v>918</v>
      </c>
      <c r="J75" s="48">
        <v>45485</v>
      </c>
      <c r="L75" s="3">
        <f>29-16</f>
        <v>13</v>
      </c>
      <c r="M75" s="3">
        <v>1</v>
      </c>
      <c r="N75" s="3">
        <f t="shared" si="11"/>
        <v>12</v>
      </c>
      <c r="O75" s="3" t="s">
        <v>720</v>
      </c>
      <c r="P75" s="3" t="s">
        <v>721</v>
      </c>
      <c r="Q75" s="46">
        <v>0.7104166666666667</v>
      </c>
      <c r="R75" s="47" t="s">
        <v>918</v>
      </c>
      <c r="S75" s="48">
        <v>45485</v>
      </c>
    </row>
    <row r="76" spans="1:19" x14ac:dyDescent="0.25">
      <c r="A76" s="3" t="s">
        <v>722</v>
      </c>
      <c r="B76" s="10">
        <f>1773+1151</f>
        <v>2924</v>
      </c>
      <c r="C76" s="11">
        <f t="shared" si="10"/>
        <v>8.6086086086086089E-2</v>
      </c>
      <c r="E76" s="3">
        <v>0</v>
      </c>
      <c r="F76" s="3" t="s">
        <v>689</v>
      </c>
      <c r="G76" s="3" t="s">
        <v>723</v>
      </c>
      <c r="H76" s="46">
        <v>0.69097222222222221</v>
      </c>
      <c r="I76" s="47" t="s">
        <v>918</v>
      </c>
      <c r="J76" s="48">
        <v>45485</v>
      </c>
      <c r="L76" s="3">
        <v>0</v>
      </c>
      <c r="N76" s="3">
        <f t="shared" si="11"/>
        <v>0</v>
      </c>
      <c r="O76" s="3" t="s">
        <v>689</v>
      </c>
      <c r="P76" s="3" t="s">
        <v>723</v>
      </c>
      <c r="Q76" s="46">
        <v>0.69097222222222221</v>
      </c>
      <c r="R76" s="47" t="s">
        <v>918</v>
      </c>
      <c r="S76" s="48">
        <v>45485</v>
      </c>
    </row>
    <row r="77" spans="1:19" x14ac:dyDescent="0.25">
      <c r="A77" s="3" t="s">
        <v>724</v>
      </c>
      <c r="B77" s="10">
        <f>1423+1445</f>
        <v>2868</v>
      </c>
      <c r="C77" s="11">
        <f t="shared" si="10"/>
        <v>8.4437378555025616E-2</v>
      </c>
      <c r="E77" s="3">
        <v>0</v>
      </c>
      <c r="F77" s="3" t="s">
        <v>689</v>
      </c>
      <c r="G77" s="3" t="s">
        <v>725</v>
      </c>
      <c r="H77" s="46">
        <v>0.68194444444444446</v>
      </c>
      <c r="I77" s="47" t="s">
        <v>918</v>
      </c>
      <c r="J77" s="48">
        <v>45485</v>
      </c>
      <c r="L77" s="3">
        <v>0</v>
      </c>
      <c r="N77" s="3">
        <f t="shared" si="11"/>
        <v>0</v>
      </c>
      <c r="O77" s="3" t="s">
        <v>689</v>
      </c>
      <c r="P77" s="3" t="s">
        <v>725</v>
      </c>
      <c r="Q77" s="46">
        <v>0.68194444444444446</v>
      </c>
      <c r="R77" s="47" t="s">
        <v>918</v>
      </c>
      <c r="S77" s="48">
        <v>45485</v>
      </c>
    </row>
    <row r="78" spans="1:19" x14ac:dyDescent="0.25">
      <c r="A78" s="18"/>
      <c r="B78" s="21">
        <f>SUM(B68:B77)</f>
        <v>33966</v>
      </c>
      <c r="C78" s="22">
        <f>B78/B$78</f>
        <v>1</v>
      </c>
      <c r="D78" s="18"/>
      <c r="E78" s="39">
        <f>E68*C68+E69*C69+E70*C70+E71*C71+E72*C72+E73*C73+E74*C74+E75*C75+E76*C76+E77*C77</f>
        <v>0.45616204439733854</v>
      </c>
      <c r="L78" s="39"/>
      <c r="M78" s="39"/>
      <c r="N78" s="39">
        <f>N68*$C68+N69*$C69+N70*$C70+N71*$C71+N72*$C72+N73*$C73+N74*$C74+N75*$C75+N76*$C76+N77*$C77</f>
        <v>3.6503267973856208</v>
      </c>
    </row>
    <row r="80" spans="1:19" x14ac:dyDescent="0.25">
      <c r="A80" s="9" t="s">
        <v>941</v>
      </c>
    </row>
    <row r="81" spans="1:19" x14ac:dyDescent="0.25">
      <c r="A81" s="3" t="s">
        <v>726</v>
      </c>
      <c r="B81" s="10">
        <f>304+627</f>
        <v>931</v>
      </c>
      <c r="C81" s="11">
        <f>B81/B$91</f>
        <v>0.18046132971506107</v>
      </c>
      <c r="E81" s="3">
        <v>2</v>
      </c>
      <c r="F81" s="3" t="s">
        <v>727</v>
      </c>
      <c r="G81" s="3" t="s">
        <v>728</v>
      </c>
      <c r="H81" s="46">
        <v>0.71875</v>
      </c>
      <c r="I81" s="47" t="s">
        <v>920</v>
      </c>
      <c r="J81" s="48">
        <v>45485</v>
      </c>
      <c r="L81" s="3">
        <f>(51-45)+(15-1)</f>
        <v>20</v>
      </c>
      <c r="M81" s="3">
        <f>3+2</f>
        <v>5</v>
      </c>
      <c r="N81" s="3">
        <f t="shared" ref="N81:N90" si="12">L81-M81</f>
        <v>15</v>
      </c>
      <c r="O81" s="3" t="s">
        <v>727</v>
      </c>
      <c r="P81" s="3" t="s">
        <v>728</v>
      </c>
      <c r="Q81" s="46">
        <v>0.71875</v>
      </c>
      <c r="R81" s="47" t="s">
        <v>920</v>
      </c>
      <c r="S81" s="48">
        <v>45485</v>
      </c>
    </row>
    <row r="82" spans="1:19" x14ac:dyDescent="0.25">
      <c r="A82" s="3" t="s">
        <v>729</v>
      </c>
      <c r="B82" s="10">
        <f>230+608</f>
        <v>838</v>
      </c>
      <c r="C82" s="11">
        <f t="shared" ref="C82:C91" si="13">B82/B$91</f>
        <v>0.16243458034502811</v>
      </c>
      <c r="E82" s="3">
        <v>1</v>
      </c>
      <c r="F82" s="3" t="s">
        <v>727</v>
      </c>
      <c r="G82" s="3" t="s">
        <v>730</v>
      </c>
      <c r="H82" s="46">
        <v>0.69791666666666663</v>
      </c>
      <c r="I82" s="47" t="s">
        <v>920</v>
      </c>
      <c r="J82" s="48">
        <v>45485</v>
      </c>
      <c r="L82" s="3">
        <f>23-15</f>
        <v>8</v>
      </c>
      <c r="N82" s="3">
        <f t="shared" si="12"/>
        <v>8</v>
      </c>
      <c r="O82" s="3" t="s">
        <v>727</v>
      </c>
      <c r="P82" s="3" t="s">
        <v>730</v>
      </c>
      <c r="Q82" s="46">
        <v>0.69791666666666663</v>
      </c>
      <c r="R82" s="47" t="s">
        <v>920</v>
      </c>
      <c r="S82" s="48">
        <v>45485</v>
      </c>
    </row>
    <row r="83" spans="1:19" x14ac:dyDescent="0.25">
      <c r="A83" s="3" t="s">
        <v>731</v>
      </c>
      <c r="B83" s="10">
        <f>193+472</f>
        <v>665</v>
      </c>
      <c r="C83" s="11">
        <f t="shared" si="13"/>
        <v>0.12890094979647218</v>
      </c>
      <c r="E83" s="3">
        <v>1</v>
      </c>
      <c r="F83" s="3" t="s">
        <v>730</v>
      </c>
      <c r="G83" s="3" t="s">
        <v>732</v>
      </c>
      <c r="H83" s="46">
        <v>0.69791666666666663</v>
      </c>
      <c r="I83" s="47" t="s">
        <v>920</v>
      </c>
      <c r="J83" s="48">
        <v>45485</v>
      </c>
      <c r="L83" s="3">
        <f>65-57</f>
        <v>8</v>
      </c>
      <c r="N83" s="3">
        <f t="shared" si="12"/>
        <v>8</v>
      </c>
      <c r="O83" s="3" t="s">
        <v>730</v>
      </c>
      <c r="P83" s="3" t="s">
        <v>732</v>
      </c>
      <c r="Q83" s="46">
        <v>0.69791666666666663</v>
      </c>
      <c r="R83" s="47" t="s">
        <v>920</v>
      </c>
      <c r="S83" s="48">
        <v>45485</v>
      </c>
    </row>
    <row r="84" spans="1:19" x14ac:dyDescent="0.25">
      <c r="A84" s="3" t="s">
        <v>733</v>
      </c>
      <c r="B84" s="10">
        <f>305+255</f>
        <v>560</v>
      </c>
      <c r="C84" s="11">
        <f t="shared" si="13"/>
        <v>0.10854816824966079</v>
      </c>
      <c r="E84" s="3">
        <v>0</v>
      </c>
      <c r="F84" s="3" t="s">
        <v>730</v>
      </c>
      <c r="G84" s="3" t="s">
        <v>734</v>
      </c>
      <c r="H84" s="46">
        <v>0.69791666666666663</v>
      </c>
      <c r="I84" s="47" t="s">
        <v>920</v>
      </c>
      <c r="J84" s="48">
        <v>45485</v>
      </c>
      <c r="L84" s="3">
        <v>0</v>
      </c>
      <c r="N84" s="3">
        <f t="shared" si="12"/>
        <v>0</v>
      </c>
      <c r="O84" s="3" t="s">
        <v>730</v>
      </c>
      <c r="P84" s="3" t="s">
        <v>734</v>
      </c>
      <c r="Q84" s="46">
        <v>0.69791666666666663</v>
      </c>
      <c r="R84" s="47" t="s">
        <v>920</v>
      </c>
      <c r="S84" s="48">
        <v>45485</v>
      </c>
    </row>
    <row r="85" spans="1:19" x14ac:dyDescent="0.25">
      <c r="A85" s="3" t="s">
        <v>735</v>
      </c>
      <c r="B85" s="10">
        <f>62+451</f>
        <v>513</v>
      </c>
      <c r="C85" s="11">
        <f t="shared" si="13"/>
        <v>9.9437875557278538E-2</v>
      </c>
      <c r="E85" s="3">
        <v>2</v>
      </c>
      <c r="F85" s="3" t="s">
        <v>727</v>
      </c>
      <c r="G85" s="3" t="s">
        <v>732</v>
      </c>
      <c r="H85" s="46">
        <v>0.71875</v>
      </c>
      <c r="I85" s="47" t="s">
        <v>920</v>
      </c>
      <c r="J85" s="48">
        <v>45485</v>
      </c>
      <c r="L85" s="3">
        <f>(56-45)+(27-24)</f>
        <v>14</v>
      </c>
      <c r="N85" s="3">
        <f t="shared" si="12"/>
        <v>14</v>
      </c>
      <c r="O85" s="3" t="s">
        <v>727</v>
      </c>
      <c r="P85" s="3" t="s">
        <v>732</v>
      </c>
      <c r="Q85" s="46">
        <v>0.71875</v>
      </c>
      <c r="R85" s="47" t="s">
        <v>920</v>
      </c>
      <c r="S85" s="48">
        <v>45485</v>
      </c>
    </row>
    <row r="86" spans="1:19" x14ac:dyDescent="0.25">
      <c r="A86" s="3" t="s">
        <v>736</v>
      </c>
      <c r="B86" s="10">
        <f>153+275</f>
        <v>428</v>
      </c>
      <c r="C86" s="11">
        <f t="shared" si="13"/>
        <v>8.2961814305097886E-2</v>
      </c>
      <c r="E86" s="3">
        <v>1</v>
      </c>
      <c r="F86" s="3" t="s">
        <v>727</v>
      </c>
      <c r="G86" s="3" t="s">
        <v>734</v>
      </c>
      <c r="H86" s="46">
        <v>0.71875</v>
      </c>
      <c r="I86" s="47" t="s">
        <v>920</v>
      </c>
      <c r="J86" s="48">
        <v>45485</v>
      </c>
      <c r="L86" s="3">
        <f>56-45</f>
        <v>11</v>
      </c>
      <c r="N86" s="3">
        <f t="shared" si="12"/>
        <v>11</v>
      </c>
      <c r="O86" s="3" t="s">
        <v>727</v>
      </c>
      <c r="P86" s="3" t="s">
        <v>734</v>
      </c>
      <c r="Q86" s="46">
        <v>0.71875</v>
      </c>
      <c r="R86" s="47" t="s">
        <v>920</v>
      </c>
      <c r="S86" s="48">
        <v>45485</v>
      </c>
    </row>
    <row r="87" spans="1:19" x14ac:dyDescent="0.25">
      <c r="A87" s="3" t="s">
        <v>737</v>
      </c>
      <c r="B87" s="10">
        <f>98+306</f>
        <v>404</v>
      </c>
      <c r="C87" s="11">
        <f t="shared" si="13"/>
        <v>7.8309749951540997E-2</v>
      </c>
      <c r="E87" s="3">
        <v>0</v>
      </c>
      <c r="F87" s="3" t="s">
        <v>730</v>
      </c>
      <c r="G87" s="3" t="s">
        <v>738</v>
      </c>
      <c r="H87" s="46">
        <v>0.6958333333333333</v>
      </c>
      <c r="I87" s="47" t="s">
        <v>920</v>
      </c>
      <c r="J87" s="48">
        <v>45485</v>
      </c>
      <c r="L87" s="3">
        <v>0</v>
      </c>
      <c r="N87" s="3">
        <f t="shared" si="12"/>
        <v>0</v>
      </c>
      <c r="O87" s="3" t="s">
        <v>730</v>
      </c>
      <c r="P87" s="3" t="s">
        <v>738</v>
      </c>
      <c r="Q87" s="46">
        <v>0.6958333333333333</v>
      </c>
      <c r="R87" s="47" t="s">
        <v>920</v>
      </c>
      <c r="S87" s="48">
        <v>45485</v>
      </c>
    </row>
    <row r="88" spans="1:19" x14ac:dyDescent="0.25">
      <c r="A88" s="3" t="s">
        <v>739</v>
      </c>
      <c r="B88" s="10">
        <f>85+229</f>
        <v>314</v>
      </c>
      <c r="C88" s="11">
        <f t="shared" si="13"/>
        <v>6.0864508625702654E-2</v>
      </c>
      <c r="E88" s="3">
        <v>2</v>
      </c>
      <c r="F88" s="3" t="s">
        <v>727</v>
      </c>
      <c r="G88" s="3" t="s">
        <v>740</v>
      </c>
      <c r="H88" s="46">
        <v>0.71875</v>
      </c>
      <c r="I88" s="47" t="s">
        <v>920</v>
      </c>
      <c r="J88" s="48">
        <v>45485</v>
      </c>
      <c r="L88" s="3">
        <f>(56-45)+(20-15)</f>
        <v>16</v>
      </c>
      <c r="N88" s="3">
        <f t="shared" si="12"/>
        <v>16</v>
      </c>
      <c r="O88" s="3" t="s">
        <v>727</v>
      </c>
      <c r="P88" s="3" t="s">
        <v>740</v>
      </c>
      <c r="Q88" s="46">
        <v>0.71875</v>
      </c>
      <c r="R88" s="47" t="s">
        <v>920</v>
      </c>
      <c r="S88" s="48">
        <v>45485</v>
      </c>
    </row>
    <row r="89" spans="1:19" x14ac:dyDescent="0.25">
      <c r="A89" s="3" t="s">
        <v>741</v>
      </c>
      <c r="B89" s="10">
        <f>83+174</f>
        <v>257</v>
      </c>
      <c r="C89" s="11">
        <f t="shared" si="13"/>
        <v>4.9815855786005038E-2</v>
      </c>
      <c r="E89" s="3">
        <v>1</v>
      </c>
      <c r="F89" s="3" t="s">
        <v>727</v>
      </c>
      <c r="G89" s="3" t="s">
        <v>742</v>
      </c>
      <c r="H89" s="46">
        <v>0.73958333333333337</v>
      </c>
      <c r="I89" s="47" t="s">
        <v>920</v>
      </c>
      <c r="J89" s="48">
        <v>45485</v>
      </c>
      <c r="L89" s="3">
        <f>20-15</f>
        <v>5</v>
      </c>
      <c r="N89" s="3">
        <f t="shared" si="12"/>
        <v>5</v>
      </c>
      <c r="O89" s="3" t="s">
        <v>727</v>
      </c>
      <c r="P89" s="3" t="s">
        <v>742</v>
      </c>
      <c r="Q89" s="46">
        <v>0.73958333333333337</v>
      </c>
      <c r="R89" s="47" t="s">
        <v>920</v>
      </c>
      <c r="S89" s="48">
        <v>45485</v>
      </c>
    </row>
    <row r="90" spans="1:19" x14ac:dyDescent="0.25">
      <c r="A90" s="3" t="s">
        <v>743</v>
      </c>
      <c r="B90" s="10">
        <f>21+228</f>
        <v>249</v>
      </c>
      <c r="C90" s="11">
        <f t="shared" si="13"/>
        <v>4.8265167668152746E-2</v>
      </c>
      <c r="E90" s="3">
        <v>3</v>
      </c>
      <c r="F90" s="3" t="s">
        <v>727</v>
      </c>
      <c r="G90" s="3" t="s">
        <v>744</v>
      </c>
      <c r="H90" s="46">
        <v>0.71875</v>
      </c>
      <c r="I90" s="47" t="s">
        <v>920</v>
      </c>
      <c r="J90" s="48">
        <v>45485</v>
      </c>
      <c r="L90" s="3">
        <f>(56-45)+(25-10)+(60-55)</f>
        <v>31</v>
      </c>
      <c r="N90" s="3">
        <f t="shared" si="12"/>
        <v>31</v>
      </c>
      <c r="O90" s="3" t="s">
        <v>727</v>
      </c>
      <c r="P90" s="3" t="s">
        <v>744</v>
      </c>
      <c r="Q90" s="46">
        <v>0.71875</v>
      </c>
      <c r="R90" s="47" t="s">
        <v>920</v>
      </c>
      <c r="S90" s="48">
        <v>45485</v>
      </c>
    </row>
    <row r="91" spans="1:19" x14ac:dyDescent="0.25">
      <c r="A91" s="18"/>
      <c r="B91" s="21">
        <f>SUM(B81:B90)</f>
        <v>5159</v>
      </c>
      <c r="C91" s="22">
        <f t="shared" si="13"/>
        <v>1</v>
      </c>
      <c r="D91" s="18"/>
      <c r="E91" s="39">
        <f>E81*C81+E82*C82+E83*C83+E84*C84+E85*C85+E86*C86+E87*C87+E88*C88+E89*C89+E90*C90</f>
        <v>1.2504361310331462</v>
      </c>
      <c r="L91" s="39"/>
      <c r="M91" s="39"/>
      <c r="N91" s="39">
        <f>N81*$C81+N82*$C82+N83*$C83+N84*$C84+N85*$C85+N86*$C86+N87*$C87+N88*$C88+N89*$C89+N90*$C90</f>
        <v>10.061446016669898</v>
      </c>
    </row>
    <row r="93" spans="1:19" x14ac:dyDescent="0.25">
      <c r="A93" s="9" t="s">
        <v>940</v>
      </c>
    </row>
    <row r="94" spans="1:19" x14ac:dyDescent="0.25">
      <c r="A94" s="3" t="s">
        <v>745</v>
      </c>
      <c r="B94" s="10">
        <f>892+1192</f>
        <v>2084</v>
      </c>
      <c r="C94" s="11">
        <f>B94/B$104</f>
        <v>0.18667144392690793</v>
      </c>
      <c r="E94" s="3">
        <v>1</v>
      </c>
      <c r="F94" s="3" t="s">
        <v>746</v>
      </c>
      <c r="G94" s="3" t="s">
        <v>747</v>
      </c>
      <c r="H94" s="46">
        <v>0.71388888888888891</v>
      </c>
      <c r="I94" s="47" t="s">
        <v>921</v>
      </c>
      <c r="J94" s="48">
        <v>45485</v>
      </c>
      <c r="L94" s="3">
        <f>16-14</f>
        <v>2</v>
      </c>
      <c r="N94" s="3">
        <f t="shared" ref="N94:N103" si="14">L94-M94</f>
        <v>2</v>
      </c>
      <c r="O94" s="3" t="s">
        <v>746</v>
      </c>
      <c r="P94" s="3" t="s">
        <v>747</v>
      </c>
      <c r="Q94" s="46">
        <v>0.71388888888888891</v>
      </c>
      <c r="R94" s="47" t="s">
        <v>921</v>
      </c>
      <c r="S94" s="48">
        <v>45485</v>
      </c>
    </row>
    <row r="95" spans="1:19" x14ac:dyDescent="0.25">
      <c r="A95" s="3" t="s">
        <v>748</v>
      </c>
      <c r="B95" s="10">
        <f>818+619</f>
        <v>1437</v>
      </c>
      <c r="C95" s="11">
        <f t="shared" ref="C95:C103" si="15">B95/B$104</f>
        <v>0.12871730562522393</v>
      </c>
      <c r="E95" s="3">
        <v>1</v>
      </c>
      <c r="F95" s="3" t="s">
        <v>746</v>
      </c>
      <c r="G95" s="3" t="s">
        <v>749</v>
      </c>
      <c r="H95" s="46">
        <v>0.72083333333333333</v>
      </c>
      <c r="I95" s="47" t="s">
        <v>921</v>
      </c>
      <c r="J95" s="48">
        <v>45485</v>
      </c>
      <c r="L95" s="3">
        <f>33-24</f>
        <v>9</v>
      </c>
      <c r="M95" s="3">
        <v>7</v>
      </c>
      <c r="N95" s="3">
        <f t="shared" si="14"/>
        <v>2</v>
      </c>
      <c r="O95" s="3" t="s">
        <v>746</v>
      </c>
      <c r="P95" s="3" t="s">
        <v>749</v>
      </c>
      <c r="Q95" s="46">
        <v>0.72083333333333333</v>
      </c>
      <c r="R95" s="47" t="s">
        <v>921</v>
      </c>
      <c r="S95" s="48">
        <v>45485</v>
      </c>
    </row>
    <row r="96" spans="1:19" x14ac:dyDescent="0.25">
      <c r="A96" s="3" t="s">
        <v>750</v>
      </c>
      <c r="B96" s="10">
        <f>434+838</f>
        <v>1272</v>
      </c>
      <c r="C96" s="11">
        <f t="shared" si="15"/>
        <v>0.11393765675385166</v>
      </c>
      <c r="E96" s="3">
        <v>0</v>
      </c>
      <c r="F96" s="3" t="s">
        <v>751</v>
      </c>
      <c r="G96" s="3" t="s">
        <v>752</v>
      </c>
      <c r="H96" s="46">
        <v>0.71666666666666667</v>
      </c>
      <c r="I96" s="47" t="s">
        <v>921</v>
      </c>
      <c r="J96" s="48">
        <v>45485</v>
      </c>
      <c r="L96" s="3">
        <v>0</v>
      </c>
      <c r="N96" s="3">
        <f t="shared" si="14"/>
        <v>0</v>
      </c>
      <c r="O96" s="3" t="s">
        <v>751</v>
      </c>
      <c r="P96" s="3" t="s">
        <v>752</v>
      </c>
      <c r="Q96" s="46">
        <v>0.71666666666666667</v>
      </c>
      <c r="R96" s="47" t="s">
        <v>921</v>
      </c>
      <c r="S96" s="48">
        <v>45485</v>
      </c>
    </row>
    <row r="97" spans="1:19" x14ac:dyDescent="0.25">
      <c r="A97" s="3" t="s">
        <v>753</v>
      </c>
      <c r="B97" s="10">
        <f>393+633</f>
        <v>1026</v>
      </c>
      <c r="C97" s="11">
        <f t="shared" si="15"/>
        <v>9.1902543891078464E-2</v>
      </c>
      <c r="E97" s="3">
        <v>1</v>
      </c>
      <c r="F97" s="3" t="s">
        <v>746</v>
      </c>
      <c r="G97" s="3" t="s">
        <v>754</v>
      </c>
      <c r="H97" s="46">
        <v>0.73055555555555551</v>
      </c>
      <c r="I97" s="47" t="s">
        <v>921</v>
      </c>
      <c r="J97" s="48">
        <v>45485</v>
      </c>
      <c r="L97" s="3">
        <f>43-42</f>
        <v>1</v>
      </c>
      <c r="N97" s="3">
        <f t="shared" si="14"/>
        <v>1</v>
      </c>
      <c r="O97" s="3" t="s">
        <v>746</v>
      </c>
      <c r="P97" s="3" t="s">
        <v>754</v>
      </c>
      <c r="Q97" s="46">
        <v>0.73055555555555551</v>
      </c>
      <c r="R97" s="47" t="s">
        <v>921</v>
      </c>
      <c r="S97" s="48">
        <v>45485</v>
      </c>
    </row>
    <row r="98" spans="1:19" x14ac:dyDescent="0.25">
      <c r="A98" s="3" t="s">
        <v>755</v>
      </c>
      <c r="B98" s="10">
        <f>769+230</f>
        <v>999</v>
      </c>
      <c r="C98" s="11">
        <f t="shared" si="15"/>
        <v>8.9484055893944828E-2</v>
      </c>
      <c r="E98" s="3">
        <v>1</v>
      </c>
      <c r="F98" s="3" t="s">
        <v>746</v>
      </c>
      <c r="G98" s="3" t="s">
        <v>756</v>
      </c>
      <c r="H98" s="46">
        <v>0.72638888888888886</v>
      </c>
      <c r="I98" s="47" t="s">
        <v>921</v>
      </c>
      <c r="J98" s="48">
        <v>45485</v>
      </c>
      <c r="L98" s="3">
        <f>39-33</f>
        <v>6</v>
      </c>
      <c r="M98" s="3">
        <v>5</v>
      </c>
      <c r="N98" s="3">
        <f t="shared" si="14"/>
        <v>1</v>
      </c>
      <c r="O98" s="3" t="s">
        <v>746</v>
      </c>
      <c r="P98" s="3" t="s">
        <v>756</v>
      </c>
      <c r="Q98" s="46">
        <v>0.72638888888888886</v>
      </c>
      <c r="R98" s="47" t="s">
        <v>921</v>
      </c>
      <c r="S98" s="48">
        <v>45485</v>
      </c>
    </row>
    <row r="99" spans="1:19" x14ac:dyDescent="0.25">
      <c r="A99" s="3" t="s">
        <v>757</v>
      </c>
      <c r="B99" s="10">
        <f>435+496</f>
        <v>931</v>
      </c>
      <c r="C99" s="11">
        <f t="shared" si="15"/>
        <v>8.339304908634898E-2</v>
      </c>
      <c r="E99" s="3">
        <v>0</v>
      </c>
      <c r="F99" s="3" t="s">
        <v>751</v>
      </c>
      <c r="G99" s="3" t="s">
        <v>758</v>
      </c>
      <c r="H99" s="46">
        <v>0.69027777777777777</v>
      </c>
      <c r="I99" s="47" t="s">
        <v>921</v>
      </c>
      <c r="J99" s="48">
        <v>45485</v>
      </c>
      <c r="L99" s="3">
        <v>0</v>
      </c>
      <c r="N99" s="3">
        <f t="shared" si="14"/>
        <v>0</v>
      </c>
      <c r="O99" s="3" t="s">
        <v>751</v>
      </c>
      <c r="P99" s="3" t="s">
        <v>758</v>
      </c>
      <c r="Q99" s="46">
        <v>0.69027777777777777</v>
      </c>
      <c r="R99" s="47" t="s">
        <v>921</v>
      </c>
      <c r="S99" s="48">
        <v>45485</v>
      </c>
    </row>
    <row r="100" spans="1:19" x14ac:dyDescent="0.25">
      <c r="A100" s="3" t="s">
        <v>759</v>
      </c>
      <c r="B100" s="10">
        <f>423+467</f>
        <v>890</v>
      </c>
      <c r="C100" s="11">
        <f t="shared" si="15"/>
        <v>7.9720530275886783E-2</v>
      </c>
      <c r="E100" s="3">
        <v>0</v>
      </c>
      <c r="F100" s="3" t="s">
        <v>751</v>
      </c>
      <c r="G100" s="3" t="s">
        <v>754</v>
      </c>
      <c r="H100" s="46">
        <v>0.69305555555555554</v>
      </c>
      <c r="I100" s="47" t="s">
        <v>921</v>
      </c>
      <c r="J100" s="48">
        <v>45485</v>
      </c>
      <c r="L100" s="3">
        <v>0</v>
      </c>
      <c r="N100" s="3">
        <f t="shared" si="14"/>
        <v>0</v>
      </c>
      <c r="O100" s="3" t="s">
        <v>751</v>
      </c>
      <c r="P100" s="3" t="s">
        <v>754</v>
      </c>
      <c r="Q100" s="46">
        <v>0.69305555555555554</v>
      </c>
      <c r="R100" s="47" t="s">
        <v>921</v>
      </c>
      <c r="S100" s="48">
        <v>45485</v>
      </c>
    </row>
    <row r="101" spans="1:19" x14ac:dyDescent="0.25">
      <c r="A101" s="3" t="s">
        <v>760</v>
      </c>
      <c r="B101" s="10">
        <f>214+675</f>
        <v>889</v>
      </c>
      <c r="C101" s="11">
        <f t="shared" si="15"/>
        <v>7.9630956646363313E-2</v>
      </c>
      <c r="E101" s="3">
        <v>0</v>
      </c>
      <c r="F101" s="3" t="s">
        <v>761</v>
      </c>
      <c r="G101" s="3" t="s">
        <v>762</v>
      </c>
      <c r="H101" s="46">
        <v>0.71875</v>
      </c>
      <c r="I101" s="47" t="s">
        <v>921</v>
      </c>
      <c r="J101" s="48">
        <v>45485</v>
      </c>
      <c r="L101" s="3">
        <v>0</v>
      </c>
      <c r="N101" s="3">
        <f t="shared" si="14"/>
        <v>0</v>
      </c>
      <c r="O101" s="3" t="s">
        <v>761</v>
      </c>
      <c r="P101" s="3" t="s">
        <v>762</v>
      </c>
      <c r="Q101" s="46">
        <v>0.71875</v>
      </c>
      <c r="R101" s="47" t="s">
        <v>921</v>
      </c>
      <c r="S101" s="48">
        <v>45485</v>
      </c>
    </row>
    <row r="102" spans="1:19" x14ac:dyDescent="0.25">
      <c r="A102" s="3" t="s">
        <v>763</v>
      </c>
      <c r="B102" s="10">
        <f>572+272</f>
        <v>844</v>
      </c>
      <c r="C102" s="11">
        <f t="shared" si="15"/>
        <v>7.5600143317807234E-2</v>
      </c>
      <c r="E102" s="3">
        <v>1</v>
      </c>
      <c r="F102" s="3" t="s">
        <v>746</v>
      </c>
      <c r="G102" s="3" t="s">
        <v>751</v>
      </c>
      <c r="H102" s="46">
        <v>0.68888888888888888</v>
      </c>
      <c r="I102" s="47" t="s">
        <v>921</v>
      </c>
      <c r="J102" s="48">
        <v>45485</v>
      </c>
      <c r="L102" s="3">
        <f>44-40</f>
        <v>4</v>
      </c>
      <c r="N102" s="3">
        <f t="shared" si="14"/>
        <v>4</v>
      </c>
      <c r="O102" s="3" t="s">
        <v>746</v>
      </c>
      <c r="P102" s="3" t="s">
        <v>751</v>
      </c>
      <c r="Q102" s="46">
        <v>0.68888888888888888</v>
      </c>
      <c r="R102" s="47" t="s">
        <v>921</v>
      </c>
      <c r="S102" s="48">
        <v>45485</v>
      </c>
    </row>
    <row r="103" spans="1:19" x14ac:dyDescent="0.25">
      <c r="A103" s="3" t="s">
        <v>764</v>
      </c>
      <c r="B103" s="10">
        <f>470+322</f>
        <v>792</v>
      </c>
      <c r="C103" s="11">
        <f t="shared" si="15"/>
        <v>7.0942314582586888E-2</v>
      </c>
      <c r="E103" s="3">
        <v>2</v>
      </c>
      <c r="F103" s="3" t="s">
        <v>746</v>
      </c>
      <c r="G103" s="3" t="s">
        <v>761</v>
      </c>
      <c r="H103" s="46">
        <v>0.71597222222222223</v>
      </c>
      <c r="I103" s="47" t="s">
        <v>921</v>
      </c>
      <c r="J103" s="48">
        <v>45485</v>
      </c>
      <c r="L103" s="3">
        <f>(28-18)+(51-49)</f>
        <v>12</v>
      </c>
      <c r="M103" s="3">
        <f>5+2</f>
        <v>7</v>
      </c>
      <c r="N103" s="3">
        <f t="shared" si="14"/>
        <v>5</v>
      </c>
      <c r="O103" s="3" t="s">
        <v>746</v>
      </c>
      <c r="P103" s="3" t="s">
        <v>761</v>
      </c>
      <c r="Q103" s="46">
        <v>0.71597222222222223</v>
      </c>
      <c r="R103" s="47" t="s">
        <v>921</v>
      </c>
      <c r="S103" s="48">
        <v>45485</v>
      </c>
    </row>
    <row r="104" spans="1:19" x14ac:dyDescent="0.25">
      <c r="A104" s="18"/>
      <c r="B104" s="21">
        <f>SUM(B94:B103)</f>
        <v>11164</v>
      </c>
      <c r="C104" s="22">
        <f>B104/B$52</f>
        <v>0.13290159758100997</v>
      </c>
      <c r="D104" s="18"/>
      <c r="E104" s="39">
        <f>E94*C94+E95*C95+E96*C96+E97*C97+E98*C98+E99*C99+E100*C100+E101*C101+E102*C102+E103*C103</f>
        <v>0.71426012182013621</v>
      </c>
      <c r="L104" s="39"/>
      <c r="M104" s="39"/>
      <c r="N104" s="39">
        <f>N94*$C94+N95*$C95+N96*$C96+N97*$C97+N98*$C98+N99*$C99+N100*$C100+N101*$C101+N102*$C102+N103*$C103</f>
        <v>1.4692762450734502</v>
      </c>
    </row>
    <row r="106" spans="1:19" x14ac:dyDescent="0.25">
      <c r="A106" s="9" t="s">
        <v>939</v>
      </c>
    </row>
    <row r="107" spans="1:19" x14ac:dyDescent="0.25">
      <c r="A107" s="3" t="s">
        <v>765</v>
      </c>
      <c r="B107" s="10">
        <f>2987+2308</f>
        <v>5295</v>
      </c>
      <c r="C107" s="11">
        <f>B107/B$117</f>
        <v>0.20101742530655631</v>
      </c>
      <c r="E107" s="3">
        <v>0</v>
      </c>
      <c r="F107" s="3" t="s">
        <v>766</v>
      </c>
      <c r="G107" s="3" t="s">
        <v>767</v>
      </c>
      <c r="H107" s="49">
        <v>0.68958333333333333</v>
      </c>
      <c r="I107" s="47" t="s">
        <v>922</v>
      </c>
      <c r="J107" s="48">
        <v>45481</v>
      </c>
      <c r="L107" s="3">
        <f>2-0</f>
        <v>2</v>
      </c>
      <c r="N107" s="3">
        <f t="shared" ref="N107:N141" si="16">L107-M107</f>
        <v>2</v>
      </c>
      <c r="O107" s="3" t="s">
        <v>766</v>
      </c>
      <c r="P107" s="3" t="s">
        <v>767</v>
      </c>
      <c r="Q107" s="49">
        <v>0.68958333333333333</v>
      </c>
      <c r="R107" s="47" t="s">
        <v>922</v>
      </c>
      <c r="S107" s="48">
        <v>45482</v>
      </c>
    </row>
    <row r="108" spans="1:19" x14ac:dyDescent="0.25">
      <c r="A108" s="3" t="s">
        <v>768</v>
      </c>
      <c r="B108" s="10">
        <f>3369+1587</f>
        <v>4956</v>
      </c>
      <c r="C108" s="11">
        <f t="shared" ref="C108:C117" si="17">B108/B$117</f>
        <v>0.18814775445123572</v>
      </c>
      <c r="E108" s="3">
        <v>2</v>
      </c>
      <c r="F108" s="3" t="s">
        <v>766</v>
      </c>
      <c r="G108" s="3" t="s">
        <v>769</v>
      </c>
      <c r="H108" s="46">
        <v>0.70277777777777772</v>
      </c>
      <c r="I108" s="47" t="s">
        <v>922</v>
      </c>
      <c r="J108" s="48">
        <v>45481</v>
      </c>
      <c r="L108" s="3">
        <f>(61-55)+(15-8)</f>
        <v>13</v>
      </c>
      <c r="M108" s="3">
        <f>4+3</f>
        <v>7</v>
      </c>
      <c r="N108" s="3">
        <f t="shared" si="16"/>
        <v>6</v>
      </c>
      <c r="O108" s="3" t="s">
        <v>766</v>
      </c>
      <c r="P108" s="3" t="s">
        <v>769</v>
      </c>
      <c r="Q108" s="46">
        <v>0.70277777777777772</v>
      </c>
      <c r="R108" s="47" t="s">
        <v>922</v>
      </c>
      <c r="S108" s="48">
        <v>45482</v>
      </c>
    </row>
    <row r="109" spans="1:19" x14ac:dyDescent="0.25">
      <c r="A109" s="3" t="s">
        <v>770</v>
      </c>
      <c r="B109" s="10">
        <f>2396+667</f>
        <v>3063</v>
      </c>
      <c r="C109" s="11">
        <f t="shared" si="17"/>
        <v>0.11628260126798527</v>
      </c>
      <c r="E109" s="3">
        <v>0</v>
      </c>
      <c r="F109" s="3" t="s">
        <v>766</v>
      </c>
      <c r="G109" s="3" t="s">
        <v>771</v>
      </c>
      <c r="H109" s="46">
        <v>0.69305555555555554</v>
      </c>
      <c r="I109" s="47" t="s">
        <v>922</v>
      </c>
      <c r="J109" s="48">
        <v>45481</v>
      </c>
      <c r="L109" s="3">
        <v>0</v>
      </c>
      <c r="N109" s="3">
        <f t="shared" si="16"/>
        <v>0</v>
      </c>
      <c r="O109" s="3" t="s">
        <v>766</v>
      </c>
      <c r="P109" s="3" t="s">
        <v>771</v>
      </c>
      <c r="Q109" s="46">
        <v>0.69305555555555554</v>
      </c>
      <c r="R109" s="47" t="s">
        <v>922</v>
      </c>
      <c r="S109" s="48">
        <v>45482</v>
      </c>
    </row>
    <row r="110" spans="1:19" x14ac:dyDescent="0.25">
      <c r="A110" s="3" t="s">
        <v>772</v>
      </c>
      <c r="B110" s="10">
        <f>1434+1285</f>
        <v>2719</v>
      </c>
      <c r="C110" s="11">
        <f t="shared" si="17"/>
        <v>0.1032231122584564</v>
      </c>
      <c r="E110" s="3">
        <v>0</v>
      </c>
      <c r="F110" s="3" t="s">
        <v>767</v>
      </c>
      <c r="G110" s="3" t="s">
        <v>773</v>
      </c>
      <c r="H110" s="46">
        <v>0.69513888888888886</v>
      </c>
      <c r="I110" s="47" t="s">
        <v>922</v>
      </c>
      <c r="J110" s="48">
        <v>45481</v>
      </c>
      <c r="L110" s="3">
        <v>0</v>
      </c>
      <c r="N110" s="3">
        <f t="shared" si="16"/>
        <v>0</v>
      </c>
      <c r="O110" s="3" t="s">
        <v>767</v>
      </c>
      <c r="P110" s="3" t="s">
        <v>773</v>
      </c>
      <c r="Q110" s="46">
        <v>0.69513888888888886</v>
      </c>
      <c r="R110" s="47" t="s">
        <v>922</v>
      </c>
      <c r="S110" s="48">
        <v>45482</v>
      </c>
    </row>
    <row r="111" spans="1:19" x14ac:dyDescent="0.25">
      <c r="A111" s="3" t="s">
        <v>774</v>
      </c>
      <c r="B111" s="10">
        <f>1383+918</f>
        <v>2301</v>
      </c>
      <c r="C111" s="11">
        <f t="shared" si="17"/>
        <v>8.735431456664515E-2</v>
      </c>
      <c r="E111" s="3">
        <v>0</v>
      </c>
      <c r="F111" s="3" t="s">
        <v>766</v>
      </c>
      <c r="G111" s="3" t="s">
        <v>775</v>
      </c>
      <c r="H111" s="46">
        <v>0.71388888888888891</v>
      </c>
      <c r="I111" s="47" t="s">
        <v>922</v>
      </c>
      <c r="J111" s="48">
        <v>45481</v>
      </c>
      <c r="L111" s="3">
        <v>0</v>
      </c>
      <c r="N111" s="3">
        <f t="shared" si="16"/>
        <v>0</v>
      </c>
      <c r="O111" s="3" t="s">
        <v>766</v>
      </c>
      <c r="P111" s="3" t="s">
        <v>775</v>
      </c>
      <c r="Q111" s="46">
        <v>0.71388888888888891</v>
      </c>
      <c r="R111" s="47" t="s">
        <v>922</v>
      </c>
      <c r="S111" s="48">
        <v>45482</v>
      </c>
    </row>
    <row r="112" spans="1:19" x14ac:dyDescent="0.25">
      <c r="A112" s="3" t="s">
        <v>776</v>
      </c>
      <c r="B112" s="10">
        <f>1253+910</f>
        <v>2163</v>
      </c>
      <c r="C112" s="11">
        <f t="shared" si="17"/>
        <v>8.2115333510496949E-2</v>
      </c>
      <c r="E112" s="3">
        <v>2</v>
      </c>
      <c r="F112" s="3" t="s">
        <v>766</v>
      </c>
      <c r="G112" s="3" t="s">
        <v>773</v>
      </c>
      <c r="H112" s="46">
        <v>0.70277777777777772</v>
      </c>
      <c r="I112" s="47" t="s">
        <v>922</v>
      </c>
      <c r="J112" s="48">
        <v>45481</v>
      </c>
      <c r="L112" s="3">
        <f>(61-55)+(25-19)</f>
        <v>12</v>
      </c>
      <c r="M112" s="3">
        <f>4+3</f>
        <v>7</v>
      </c>
      <c r="N112" s="3">
        <f t="shared" si="16"/>
        <v>5</v>
      </c>
      <c r="O112" s="3" t="s">
        <v>766</v>
      </c>
      <c r="P112" s="3" t="s">
        <v>773</v>
      </c>
      <c r="Q112" s="46">
        <v>0.70277777777777772</v>
      </c>
      <c r="R112" s="47" t="s">
        <v>922</v>
      </c>
      <c r="S112" s="48">
        <v>45482</v>
      </c>
    </row>
    <row r="113" spans="1:19" x14ac:dyDescent="0.25">
      <c r="A113" s="3" t="s">
        <v>777</v>
      </c>
      <c r="B113" s="10">
        <f>1538+603</f>
        <v>2141</v>
      </c>
      <c r="C113" s="11">
        <f t="shared" si="17"/>
        <v>8.128013363198057E-2</v>
      </c>
      <c r="E113" s="3">
        <v>2</v>
      </c>
      <c r="F113" s="3" t="s">
        <v>767</v>
      </c>
      <c r="G113" s="3" t="s">
        <v>769</v>
      </c>
      <c r="H113" s="46">
        <v>0.70763888888888893</v>
      </c>
      <c r="I113" s="47" t="s">
        <v>922</v>
      </c>
      <c r="J113" s="48">
        <v>45481</v>
      </c>
      <c r="L113" s="3">
        <f>(7-2)+(20-16)</f>
        <v>9</v>
      </c>
      <c r="M113" s="3">
        <f>3+3</f>
        <v>6</v>
      </c>
      <c r="N113" s="3">
        <f t="shared" si="16"/>
        <v>3</v>
      </c>
      <c r="O113" s="3" t="s">
        <v>767</v>
      </c>
      <c r="P113" s="3" t="s">
        <v>769</v>
      </c>
      <c r="Q113" s="46">
        <v>0.70763888888888893</v>
      </c>
      <c r="R113" s="47" t="s">
        <v>922</v>
      </c>
      <c r="S113" s="48">
        <v>45482</v>
      </c>
    </row>
    <row r="114" spans="1:19" x14ac:dyDescent="0.25">
      <c r="A114" s="3" t="s">
        <v>778</v>
      </c>
      <c r="B114" s="10">
        <f>870+534</f>
        <v>1404</v>
      </c>
      <c r="C114" s="11">
        <f t="shared" si="17"/>
        <v>5.3300937701681789E-2</v>
      </c>
      <c r="E114" s="3">
        <v>0</v>
      </c>
      <c r="F114" s="3" t="s">
        <v>766</v>
      </c>
      <c r="G114" s="3" t="s">
        <v>779</v>
      </c>
      <c r="H114" s="46">
        <v>0.71805555555555556</v>
      </c>
      <c r="I114" s="47" t="s">
        <v>922</v>
      </c>
      <c r="J114" s="48">
        <v>45481</v>
      </c>
      <c r="L114" s="3">
        <v>0</v>
      </c>
      <c r="N114" s="3">
        <f t="shared" si="16"/>
        <v>0</v>
      </c>
      <c r="O114" s="3" t="s">
        <v>766</v>
      </c>
      <c r="P114" s="3" t="s">
        <v>779</v>
      </c>
      <c r="Q114" s="46">
        <v>0.71805555555555556</v>
      </c>
      <c r="R114" s="47" t="s">
        <v>922</v>
      </c>
      <c r="S114" s="48">
        <v>45482</v>
      </c>
    </row>
    <row r="115" spans="1:19" x14ac:dyDescent="0.25">
      <c r="A115" s="3" t="s">
        <v>780</v>
      </c>
      <c r="B115" s="10">
        <f>1043+262</f>
        <v>1305</v>
      </c>
      <c r="C115" s="11">
        <f t="shared" si="17"/>
        <v>4.9542538248358074E-2</v>
      </c>
      <c r="E115" s="3">
        <v>0</v>
      </c>
      <c r="F115" s="3" t="s">
        <v>767</v>
      </c>
      <c r="G115" s="3" t="s">
        <v>781</v>
      </c>
      <c r="H115" s="49">
        <v>0.71111111111111114</v>
      </c>
      <c r="I115" s="47" t="s">
        <v>922</v>
      </c>
      <c r="J115" s="48">
        <v>45481</v>
      </c>
      <c r="L115" s="3">
        <v>0</v>
      </c>
      <c r="N115" s="3">
        <f t="shared" si="16"/>
        <v>0</v>
      </c>
      <c r="O115" s="3" t="s">
        <v>767</v>
      </c>
      <c r="P115" s="3" t="s">
        <v>781</v>
      </c>
      <c r="Q115" s="49">
        <v>0.71111111111111114</v>
      </c>
      <c r="R115" s="47" t="s">
        <v>922</v>
      </c>
      <c r="S115" s="48">
        <v>45482</v>
      </c>
    </row>
    <row r="116" spans="1:19" x14ac:dyDescent="0.25">
      <c r="A116" s="14" t="s">
        <v>782</v>
      </c>
      <c r="B116" s="10">
        <f>532+462</f>
        <v>994</v>
      </c>
      <c r="C116" s="11">
        <f t="shared" si="17"/>
        <v>3.7735849056603772E-2</v>
      </c>
      <c r="E116" s="3">
        <v>1</v>
      </c>
      <c r="F116" s="3" t="s">
        <v>773</v>
      </c>
      <c r="G116" s="3" t="s">
        <v>783</v>
      </c>
      <c r="H116" s="46">
        <v>0.70694444444444449</v>
      </c>
      <c r="I116" s="47" t="s">
        <v>922</v>
      </c>
      <c r="J116" s="48">
        <v>45481</v>
      </c>
      <c r="L116" s="3">
        <f>23-23</f>
        <v>0</v>
      </c>
      <c r="N116" s="3">
        <f t="shared" si="16"/>
        <v>0</v>
      </c>
      <c r="O116" s="3" t="s">
        <v>773</v>
      </c>
      <c r="P116" s="3" t="s">
        <v>783</v>
      </c>
      <c r="Q116" s="46">
        <v>0.70694444444444449</v>
      </c>
      <c r="R116" s="47" t="s">
        <v>922</v>
      </c>
      <c r="S116" s="48">
        <v>45482</v>
      </c>
    </row>
    <row r="117" spans="1:19" x14ac:dyDescent="0.25">
      <c r="B117" s="21">
        <f>SUM(B107:B116)</f>
        <v>26341</v>
      </c>
      <c r="C117" s="22">
        <f t="shared" si="17"/>
        <v>1</v>
      </c>
      <c r="D117" s="18"/>
      <c r="E117" s="39">
        <f>E107*C107+E108*C108+E109*C109+E110*C110+E111*C111+E112*C112+E113*C113+E114*C114+E115*C115+E116*C116</f>
        <v>0.74082229224403018</v>
      </c>
      <c r="L117" s="39"/>
      <c r="M117" s="39"/>
      <c r="N117" s="39">
        <f>N107*$C107+N108*$C108+N109*$C109+N110*$C110+N111*$C111+N112*$C112+N113*$C113+N114*$C114+N115*$C115+N116*$C116</f>
        <v>2.1853384457689531</v>
      </c>
    </row>
    <row r="119" spans="1:19" x14ac:dyDescent="0.25">
      <c r="A119" s="9" t="s">
        <v>938</v>
      </c>
      <c r="E119" s="44"/>
      <c r="M119" s="44"/>
    </row>
    <row r="120" spans="1:19" x14ac:dyDescent="0.25">
      <c r="A120" s="3" t="s">
        <v>784</v>
      </c>
      <c r="B120" s="10">
        <f>1364+1776</f>
        <v>3140</v>
      </c>
      <c r="C120" s="11">
        <f t="shared" ref="C120:C130" si="18">B120/B$130</f>
        <v>0.3499777084262149</v>
      </c>
      <c r="E120" s="3">
        <v>0</v>
      </c>
      <c r="F120" s="3" t="s">
        <v>785</v>
      </c>
      <c r="G120" s="3" t="s">
        <v>786</v>
      </c>
      <c r="H120" s="49">
        <v>0.68680555555555556</v>
      </c>
      <c r="I120" s="47" t="s">
        <v>923</v>
      </c>
      <c r="J120" s="48">
        <v>45482</v>
      </c>
      <c r="L120" s="3">
        <v>0</v>
      </c>
      <c r="N120" s="3">
        <f>L120-M119</f>
        <v>0</v>
      </c>
      <c r="O120" s="3" t="s">
        <v>785</v>
      </c>
      <c r="P120" s="3" t="s">
        <v>786</v>
      </c>
      <c r="Q120" s="49">
        <v>0.68680555555555556</v>
      </c>
      <c r="R120" s="47" t="s">
        <v>923</v>
      </c>
      <c r="S120" s="48">
        <v>45482</v>
      </c>
    </row>
    <row r="121" spans="1:19" x14ac:dyDescent="0.25">
      <c r="A121" s="3" t="s">
        <v>787</v>
      </c>
      <c r="B121" s="10">
        <f>670+279</f>
        <v>949</v>
      </c>
      <c r="C121" s="11">
        <f t="shared" si="18"/>
        <v>0.10577351761034329</v>
      </c>
      <c r="E121" s="3">
        <v>0</v>
      </c>
      <c r="F121" s="3" t="s">
        <v>788</v>
      </c>
      <c r="G121" s="3" t="s">
        <v>789</v>
      </c>
      <c r="H121" s="46">
        <v>0.68611111111111112</v>
      </c>
      <c r="I121" s="47" t="s">
        <v>923</v>
      </c>
      <c r="J121" s="48">
        <v>45482</v>
      </c>
      <c r="L121" s="3">
        <v>0</v>
      </c>
      <c r="N121" s="3">
        <f>L121-M121</f>
        <v>0</v>
      </c>
      <c r="O121" s="3" t="s">
        <v>788</v>
      </c>
      <c r="P121" s="3" t="s">
        <v>789</v>
      </c>
      <c r="Q121" s="46">
        <v>0.68611111111111112</v>
      </c>
      <c r="R121" s="47" t="s">
        <v>923</v>
      </c>
      <c r="S121" s="48">
        <v>45482</v>
      </c>
    </row>
    <row r="122" spans="1:19" x14ac:dyDescent="0.25">
      <c r="A122" s="3" t="s">
        <v>790</v>
      </c>
      <c r="B122" s="10">
        <f>536+398</f>
        <v>934</v>
      </c>
      <c r="C122" s="11">
        <f t="shared" si="18"/>
        <v>0.10410164957646009</v>
      </c>
      <c r="E122" s="3">
        <v>2</v>
      </c>
      <c r="F122" s="3" t="s">
        <v>785</v>
      </c>
      <c r="G122" s="3" t="s">
        <v>791</v>
      </c>
      <c r="H122" s="46">
        <v>0.7104166666666667</v>
      </c>
      <c r="I122" s="47" t="s">
        <v>923</v>
      </c>
      <c r="J122" s="48">
        <v>45482</v>
      </c>
      <c r="L122" s="3">
        <f>(16-13)+(37-30)</f>
        <v>10</v>
      </c>
      <c r="N122" s="3">
        <f t="shared" si="16"/>
        <v>10</v>
      </c>
      <c r="O122" s="3" t="s">
        <v>785</v>
      </c>
      <c r="P122" s="3" t="s">
        <v>791</v>
      </c>
      <c r="Q122" s="46">
        <v>0.7104166666666667</v>
      </c>
      <c r="R122" s="47" t="s">
        <v>923</v>
      </c>
      <c r="S122" s="48">
        <v>45482</v>
      </c>
    </row>
    <row r="123" spans="1:19" x14ac:dyDescent="0.25">
      <c r="A123" s="3" t="s">
        <v>792</v>
      </c>
      <c r="B123" s="10">
        <f>639+217</f>
        <v>856</v>
      </c>
      <c r="C123" s="11">
        <f t="shared" si="18"/>
        <v>9.5407935800267504E-2</v>
      </c>
      <c r="E123" s="3">
        <v>1</v>
      </c>
      <c r="F123" s="3" t="s">
        <v>786</v>
      </c>
      <c r="G123" s="3" t="s">
        <v>793</v>
      </c>
      <c r="H123" s="46">
        <v>0.69305555555555554</v>
      </c>
      <c r="I123" s="47" t="s">
        <v>923</v>
      </c>
      <c r="J123" s="48">
        <v>45482</v>
      </c>
      <c r="L123" s="3">
        <f>54-40</f>
        <v>14</v>
      </c>
      <c r="M123" s="3">
        <v>11</v>
      </c>
      <c r="N123" s="3">
        <f t="shared" si="16"/>
        <v>3</v>
      </c>
      <c r="O123" s="3" t="s">
        <v>786</v>
      </c>
      <c r="P123" s="3" t="s">
        <v>793</v>
      </c>
      <c r="Q123" s="46">
        <v>0.69305555555555554</v>
      </c>
      <c r="R123" s="47" t="s">
        <v>923</v>
      </c>
      <c r="S123" s="48">
        <v>45482</v>
      </c>
    </row>
    <row r="124" spans="1:19" x14ac:dyDescent="0.25">
      <c r="A124" s="3" t="s">
        <v>794</v>
      </c>
      <c r="B124" s="10">
        <f>498+304</f>
        <v>802</v>
      </c>
      <c r="C124" s="11">
        <f t="shared" si="18"/>
        <v>8.9389210878288008E-2</v>
      </c>
      <c r="E124" s="3">
        <v>3</v>
      </c>
      <c r="F124" s="3" t="s">
        <v>786</v>
      </c>
      <c r="G124" s="3" t="s">
        <v>791</v>
      </c>
      <c r="H124" s="46">
        <v>0.69305555555555554</v>
      </c>
      <c r="I124" s="47" t="s">
        <v>923</v>
      </c>
      <c r="J124" s="48">
        <v>45482</v>
      </c>
      <c r="L124" s="3">
        <f>(49-40)+(76-55)+(37-30)</f>
        <v>37</v>
      </c>
      <c r="N124" s="3">
        <f t="shared" si="16"/>
        <v>37</v>
      </c>
      <c r="O124" s="3" t="s">
        <v>786</v>
      </c>
      <c r="P124" s="3" t="s">
        <v>791</v>
      </c>
      <c r="Q124" s="46">
        <v>0.69305555555555554</v>
      </c>
      <c r="R124" s="47" t="s">
        <v>923</v>
      </c>
      <c r="S124" s="48">
        <v>45482</v>
      </c>
    </row>
    <row r="125" spans="1:19" x14ac:dyDescent="0.25">
      <c r="A125" s="3" t="s">
        <v>795</v>
      </c>
      <c r="B125" s="10">
        <f>147+392</f>
        <v>539</v>
      </c>
      <c r="C125" s="11">
        <f t="shared" si="18"/>
        <v>6.0075791350869372E-2</v>
      </c>
      <c r="E125" s="3">
        <v>2</v>
      </c>
      <c r="F125" s="3" t="s">
        <v>785</v>
      </c>
      <c r="G125" s="3" t="s">
        <v>788</v>
      </c>
      <c r="H125" s="46">
        <v>0.70972222222222225</v>
      </c>
      <c r="I125" s="47" t="s">
        <v>923</v>
      </c>
      <c r="J125" s="48">
        <v>45482</v>
      </c>
      <c r="L125" s="3">
        <f>(11-4)+(35-26)</f>
        <v>16</v>
      </c>
      <c r="N125" s="3">
        <f t="shared" si="16"/>
        <v>16</v>
      </c>
      <c r="O125" s="3" t="s">
        <v>785</v>
      </c>
      <c r="P125" s="3" t="s">
        <v>788</v>
      </c>
      <c r="Q125" s="46">
        <v>0.70972222222222225</v>
      </c>
      <c r="R125" s="47" t="s">
        <v>923</v>
      </c>
      <c r="S125" s="48">
        <v>45482</v>
      </c>
    </row>
    <row r="126" spans="1:19" x14ac:dyDescent="0.25">
      <c r="A126" s="3" t="s">
        <v>796</v>
      </c>
      <c r="B126" s="10">
        <f>182+298</f>
        <v>480</v>
      </c>
      <c r="C126" s="11">
        <f t="shared" si="18"/>
        <v>5.3499777084262151E-2</v>
      </c>
      <c r="E126" s="3">
        <v>2</v>
      </c>
      <c r="F126" s="3" t="s">
        <v>786</v>
      </c>
      <c r="G126" s="3" t="s">
        <v>788</v>
      </c>
      <c r="H126" s="49">
        <v>0.69305555555555554</v>
      </c>
      <c r="I126" s="47" t="s">
        <v>923</v>
      </c>
      <c r="J126" s="48">
        <v>45482</v>
      </c>
      <c r="L126" s="3">
        <f>(49-40)+(35-30)</f>
        <v>14</v>
      </c>
      <c r="N126" s="3">
        <f t="shared" si="16"/>
        <v>14</v>
      </c>
      <c r="O126" s="3" t="s">
        <v>786</v>
      </c>
      <c r="P126" s="3" t="s">
        <v>788</v>
      </c>
      <c r="Q126" s="49">
        <v>0.69305555555555554</v>
      </c>
      <c r="R126" s="47" t="s">
        <v>923</v>
      </c>
      <c r="S126" s="48">
        <v>45482</v>
      </c>
    </row>
    <row r="127" spans="1:19" x14ac:dyDescent="0.25">
      <c r="A127" s="3" t="s">
        <v>797</v>
      </c>
      <c r="B127" s="10">
        <f>361+111</f>
        <v>472</v>
      </c>
      <c r="C127" s="11">
        <f t="shared" si="18"/>
        <v>5.2608114132857778E-2</v>
      </c>
      <c r="E127" s="3">
        <v>1</v>
      </c>
      <c r="F127" s="3" t="s">
        <v>785</v>
      </c>
      <c r="G127" s="3" t="s">
        <v>793</v>
      </c>
      <c r="H127" s="46">
        <v>0.73055555555555551</v>
      </c>
      <c r="I127" s="47" t="s">
        <v>923</v>
      </c>
      <c r="J127" s="48">
        <v>45482</v>
      </c>
      <c r="L127" s="3">
        <f>38-35</f>
        <v>3</v>
      </c>
      <c r="N127" s="3">
        <f t="shared" si="16"/>
        <v>3</v>
      </c>
      <c r="O127" s="3" t="s">
        <v>785</v>
      </c>
      <c r="P127" s="3" t="s">
        <v>793</v>
      </c>
      <c r="Q127" s="46">
        <v>0.73055555555555551</v>
      </c>
      <c r="R127" s="47" t="s">
        <v>923</v>
      </c>
      <c r="S127" s="48">
        <v>45482</v>
      </c>
    </row>
    <row r="128" spans="1:19" x14ac:dyDescent="0.25">
      <c r="A128" s="3" t="s">
        <v>798</v>
      </c>
      <c r="B128" s="10">
        <f>278+130</f>
        <v>408</v>
      </c>
      <c r="C128" s="11">
        <f t="shared" si="18"/>
        <v>4.5474810521622826E-2</v>
      </c>
      <c r="E128" s="3">
        <v>2</v>
      </c>
      <c r="F128" s="3" t="s">
        <v>785</v>
      </c>
      <c r="G128" s="3" t="s">
        <v>789</v>
      </c>
      <c r="H128" s="46">
        <v>0.70972222222222225</v>
      </c>
      <c r="I128" s="47" t="s">
        <v>924</v>
      </c>
      <c r="J128" s="48">
        <v>45482</v>
      </c>
      <c r="L128" s="3">
        <f>(11-4)+(32-26)</f>
        <v>13</v>
      </c>
      <c r="N128" s="3">
        <f t="shared" si="16"/>
        <v>13</v>
      </c>
      <c r="O128" s="3" t="s">
        <v>785</v>
      </c>
      <c r="P128" s="3" t="s">
        <v>789</v>
      </c>
      <c r="Q128" s="46">
        <v>0.70972222222222225</v>
      </c>
      <c r="R128" s="47" t="s">
        <v>924</v>
      </c>
      <c r="S128" s="48">
        <v>45482</v>
      </c>
    </row>
    <row r="129" spans="1:19" x14ac:dyDescent="0.25">
      <c r="A129" s="14" t="s">
        <v>799</v>
      </c>
      <c r="B129" s="10">
        <f>313+79</f>
        <v>392</v>
      </c>
      <c r="C129" s="11">
        <f t="shared" si="18"/>
        <v>4.3691484618814086E-2</v>
      </c>
      <c r="E129" s="3">
        <v>3</v>
      </c>
      <c r="F129" s="3" t="s">
        <v>786</v>
      </c>
      <c r="G129" s="3" t="s">
        <v>789</v>
      </c>
      <c r="H129" s="46">
        <v>0.69305555555555554</v>
      </c>
      <c r="I129" s="47" t="s">
        <v>924</v>
      </c>
      <c r="J129" s="48">
        <v>45482</v>
      </c>
      <c r="L129" s="3">
        <f>(52-40)+(60-54)+(32-13)</f>
        <v>37</v>
      </c>
      <c r="N129" s="3">
        <f t="shared" si="16"/>
        <v>37</v>
      </c>
      <c r="O129" s="3" t="s">
        <v>786</v>
      </c>
      <c r="P129" s="3" t="s">
        <v>789</v>
      </c>
      <c r="Q129" s="46">
        <v>0.69305555555555554</v>
      </c>
      <c r="R129" s="47" t="s">
        <v>924</v>
      </c>
      <c r="S129" s="48">
        <v>45482</v>
      </c>
    </row>
    <row r="130" spans="1:19" x14ac:dyDescent="0.25">
      <c r="B130" s="21">
        <f>SUM(B120:B129)</f>
        <v>8972</v>
      </c>
      <c r="C130" s="22">
        <f t="shared" si="18"/>
        <v>1</v>
      </c>
      <c r="D130" s="18"/>
      <c r="E130" s="39">
        <f>E120*C120+E121*C121+E122*C122+E123*C123+E124*C124+E125*C125+E126*C126+E127*C127+E128*C128+E129*C129</f>
        <v>1.0735621934908606</v>
      </c>
      <c r="L130" s="39"/>
      <c r="M130" s="39"/>
      <c r="N130" s="39">
        <f>N120*$C120+N121*$C121+N122*$C122+N123*$C123+N124*$C124+N125*$C125+N126*$C126+N127*$C127+N128*$C128+N129*$C129</f>
        <v>8.7104324565314304</v>
      </c>
    </row>
    <row r="132" spans="1:19" x14ac:dyDescent="0.25">
      <c r="A132" s="9" t="s">
        <v>935</v>
      </c>
    </row>
    <row r="133" spans="1:19" x14ac:dyDescent="0.25">
      <c r="A133" s="3" t="s">
        <v>800</v>
      </c>
      <c r="B133" s="10">
        <f>21089+12688</f>
        <v>33777</v>
      </c>
      <c r="C133" s="11">
        <f t="shared" ref="C133:C143" si="19">B133/B$143</f>
        <v>0.25942994078204568</v>
      </c>
      <c r="E133" s="3">
        <v>0</v>
      </c>
      <c r="F133" s="3" t="s">
        <v>801</v>
      </c>
      <c r="G133" s="3" t="s">
        <v>802</v>
      </c>
      <c r="H133" s="49">
        <v>0.69027777777777777</v>
      </c>
      <c r="I133" s="47" t="s">
        <v>925</v>
      </c>
      <c r="J133" s="48">
        <v>45482</v>
      </c>
      <c r="L133" s="3">
        <v>0</v>
      </c>
      <c r="N133" s="3">
        <f t="shared" si="16"/>
        <v>0</v>
      </c>
      <c r="O133" s="3" t="s">
        <v>801</v>
      </c>
      <c r="P133" s="3" t="s">
        <v>802</v>
      </c>
      <c r="Q133" s="49">
        <v>0.69027777777777777</v>
      </c>
      <c r="R133" s="47" t="s">
        <v>925</v>
      </c>
      <c r="S133" s="48">
        <v>45482</v>
      </c>
    </row>
    <row r="134" spans="1:19" x14ac:dyDescent="0.25">
      <c r="A134" s="3" t="s">
        <v>803</v>
      </c>
      <c r="B134" s="10">
        <f>11369+3980</f>
        <v>15349</v>
      </c>
      <c r="C134" s="11">
        <f t="shared" si="19"/>
        <v>0.11789058119618731</v>
      </c>
      <c r="E134" s="3">
        <v>2</v>
      </c>
      <c r="F134" s="3" t="s">
        <v>801</v>
      </c>
      <c r="G134" s="3" t="s">
        <v>804</v>
      </c>
      <c r="H134" s="46">
        <v>0.68541666666666667</v>
      </c>
      <c r="I134" s="47" t="s">
        <v>925</v>
      </c>
      <c r="J134" s="48">
        <v>45482</v>
      </c>
      <c r="L134" s="3">
        <f>(37-30)+(62-54)</f>
        <v>15</v>
      </c>
      <c r="M134" s="3">
        <f>6+2</f>
        <v>8</v>
      </c>
      <c r="N134" s="3">
        <f t="shared" si="16"/>
        <v>7</v>
      </c>
      <c r="O134" s="3" t="s">
        <v>801</v>
      </c>
      <c r="P134" s="3" t="s">
        <v>804</v>
      </c>
      <c r="Q134" s="46">
        <v>0.68541666666666667</v>
      </c>
      <c r="R134" s="47" t="s">
        <v>925</v>
      </c>
      <c r="S134" s="48">
        <v>45482</v>
      </c>
    </row>
    <row r="135" spans="1:19" x14ac:dyDescent="0.25">
      <c r="A135" s="3" t="s">
        <v>805</v>
      </c>
      <c r="B135" s="10">
        <f>9688+2649</f>
        <v>12337</v>
      </c>
      <c r="C135" s="11">
        <f t="shared" si="19"/>
        <v>9.4756407597717307E-2</v>
      </c>
      <c r="E135" s="3">
        <v>2</v>
      </c>
      <c r="F135" s="3" t="s">
        <v>801</v>
      </c>
      <c r="G135" s="3" t="s">
        <v>806</v>
      </c>
      <c r="H135" s="46">
        <v>0.74791666666666667</v>
      </c>
      <c r="I135" s="47" t="s">
        <v>925</v>
      </c>
      <c r="J135" s="48">
        <v>45482</v>
      </c>
      <c r="L135" s="3">
        <f>(6-0)+(28-24)</f>
        <v>10</v>
      </c>
      <c r="M135" s="3">
        <f>6+4</f>
        <v>10</v>
      </c>
      <c r="N135" s="3">
        <f t="shared" si="16"/>
        <v>0</v>
      </c>
      <c r="O135" s="3" t="s">
        <v>801</v>
      </c>
      <c r="P135" s="3" t="s">
        <v>806</v>
      </c>
      <c r="Q135" s="46">
        <v>0.74791666666666667</v>
      </c>
      <c r="R135" s="47" t="s">
        <v>925</v>
      </c>
      <c r="S135" s="48">
        <v>45482</v>
      </c>
    </row>
    <row r="136" spans="1:19" x14ac:dyDescent="0.25">
      <c r="A136" s="3" t="s">
        <v>807</v>
      </c>
      <c r="B136" s="10">
        <f>7280+4372</f>
        <v>11652</v>
      </c>
      <c r="C136" s="11">
        <f t="shared" si="19"/>
        <v>8.949514965782622E-2</v>
      </c>
      <c r="E136" s="3">
        <v>2</v>
      </c>
      <c r="F136" s="3" t="s">
        <v>801</v>
      </c>
      <c r="G136" s="3" t="s">
        <v>808</v>
      </c>
      <c r="H136" s="49">
        <v>0.7583333333333333</v>
      </c>
      <c r="I136" s="47" t="s">
        <v>925</v>
      </c>
      <c r="J136" s="48">
        <v>45482</v>
      </c>
      <c r="L136" s="3">
        <f>(21-15)+(36-31)</f>
        <v>11</v>
      </c>
      <c r="M136" s="3">
        <f>5+3</f>
        <v>8</v>
      </c>
      <c r="N136" s="3">
        <f t="shared" si="16"/>
        <v>3</v>
      </c>
      <c r="O136" s="3" t="s">
        <v>801</v>
      </c>
      <c r="P136" s="3" t="s">
        <v>808</v>
      </c>
      <c r="Q136" s="49">
        <v>0.7583333333333333</v>
      </c>
      <c r="R136" s="47" t="s">
        <v>925</v>
      </c>
      <c r="S136" s="48">
        <v>45482</v>
      </c>
    </row>
    <row r="137" spans="1:19" x14ac:dyDescent="0.25">
      <c r="A137" s="3" t="s">
        <v>809</v>
      </c>
      <c r="B137" s="10">
        <f>7219+4342</f>
        <v>11561</v>
      </c>
      <c r="C137" s="11">
        <f t="shared" si="19"/>
        <v>8.8796208822015874E-2</v>
      </c>
      <c r="E137" s="3">
        <v>2</v>
      </c>
      <c r="F137" s="3" t="s">
        <v>801</v>
      </c>
      <c r="G137" s="3" t="s">
        <v>810</v>
      </c>
      <c r="H137" s="46">
        <v>0.68888888888888888</v>
      </c>
      <c r="I137" s="47" t="s">
        <v>925</v>
      </c>
      <c r="J137" s="48">
        <v>45482</v>
      </c>
      <c r="L137" s="3">
        <f>(41-35)+(8-3)</f>
        <v>11</v>
      </c>
      <c r="M137" s="3">
        <f>5+4</f>
        <v>9</v>
      </c>
      <c r="N137" s="3">
        <f t="shared" si="16"/>
        <v>2</v>
      </c>
      <c r="O137" s="3" t="s">
        <v>801</v>
      </c>
      <c r="P137" s="3" t="s">
        <v>810</v>
      </c>
      <c r="Q137" s="46">
        <v>0.68888888888888888</v>
      </c>
      <c r="R137" s="47" t="s">
        <v>925</v>
      </c>
      <c r="S137" s="48">
        <v>45482</v>
      </c>
    </row>
    <row r="138" spans="1:19" x14ac:dyDescent="0.25">
      <c r="A138" s="3" t="s">
        <v>811</v>
      </c>
      <c r="B138" s="10">
        <f>8043+2773</f>
        <v>10816</v>
      </c>
      <c r="C138" s="11">
        <f t="shared" si="19"/>
        <v>8.3074110770601478E-2</v>
      </c>
      <c r="E138" s="3">
        <v>1</v>
      </c>
      <c r="F138" s="3" t="s">
        <v>801</v>
      </c>
      <c r="G138" s="3" t="s">
        <v>362</v>
      </c>
      <c r="H138" s="46">
        <v>0.69166666666666665</v>
      </c>
      <c r="I138" s="47" t="s">
        <v>925</v>
      </c>
      <c r="J138" s="48">
        <v>45482</v>
      </c>
      <c r="L138" s="3">
        <f>45-41</f>
        <v>4</v>
      </c>
      <c r="M138" s="3">
        <v>2</v>
      </c>
      <c r="N138" s="3">
        <f t="shared" si="16"/>
        <v>2</v>
      </c>
      <c r="O138" s="3" t="s">
        <v>801</v>
      </c>
      <c r="P138" s="3" t="s">
        <v>362</v>
      </c>
      <c r="Q138" s="46">
        <v>0.69166666666666665</v>
      </c>
      <c r="R138" s="47" t="s">
        <v>925</v>
      </c>
      <c r="S138" s="48">
        <v>45482</v>
      </c>
    </row>
    <row r="139" spans="1:19" x14ac:dyDescent="0.25">
      <c r="A139" s="3" t="s">
        <v>812</v>
      </c>
      <c r="B139" s="10">
        <f>8024+1366</f>
        <v>9390</v>
      </c>
      <c r="C139" s="11">
        <f t="shared" si="19"/>
        <v>7.2121477453397545E-2</v>
      </c>
      <c r="E139" s="3">
        <v>2</v>
      </c>
      <c r="F139" s="3" t="s">
        <v>801</v>
      </c>
      <c r="G139" s="3" t="s">
        <v>813</v>
      </c>
      <c r="H139" s="46">
        <v>0.79583333333333328</v>
      </c>
      <c r="I139" s="47" t="s">
        <v>925</v>
      </c>
      <c r="J139" s="48">
        <v>45482</v>
      </c>
      <c r="L139" s="3">
        <f>(15-8)+(41-37)</f>
        <v>11</v>
      </c>
      <c r="M139" s="3">
        <f>6+3</f>
        <v>9</v>
      </c>
      <c r="N139" s="3">
        <f>L139-M139</f>
        <v>2</v>
      </c>
      <c r="O139" s="3" t="s">
        <v>801</v>
      </c>
      <c r="P139" s="3" t="s">
        <v>813</v>
      </c>
      <c r="Q139" s="46">
        <v>0.79583333333333328</v>
      </c>
      <c r="R139" s="47" t="s">
        <v>925</v>
      </c>
      <c r="S139" s="48">
        <v>45482</v>
      </c>
    </row>
    <row r="140" spans="1:19" x14ac:dyDescent="0.25">
      <c r="A140" s="3" t="s">
        <v>814</v>
      </c>
      <c r="B140" s="10">
        <f>7407+1443</f>
        <v>8850</v>
      </c>
      <c r="C140" s="11">
        <f t="shared" si="19"/>
        <v>6.7973916449687782E-2</v>
      </c>
      <c r="E140" s="3">
        <v>2</v>
      </c>
      <c r="F140" s="3" t="s">
        <v>801</v>
      </c>
      <c r="G140" s="3" t="s">
        <v>815</v>
      </c>
      <c r="H140" s="46">
        <v>0.74791666666666667</v>
      </c>
      <c r="I140" s="47" t="s">
        <v>926</v>
      </c>
      <c r="J140" s="48">
        <v>45482</v>
      </c>
      <c r="L140" s="3">
        <f>(6-0)+(50-37)</f>
        <v>19</v>
      </c>
      <c r="M140" s="3">
        <f>6+3</f>
        <v>9</v>
      </c>
      <c r="N140" s="3">
        <f t="shared" si="16"/>
        <v>10</v>
      </c>
      <c r="O140" s="3" t="s">
        <v>801</v>
      </c>
      <c r="P140" s="3" t="s">
        <v>815</v>
      </c>
      <c r="Q140" s="46">
        <v>0.74791666666666667</v>
      </c>
      <c r="R140" s="47" t="s">
        <v>926</v>
      </c>
      <c r="S140" s="48">
        <v>45482</v>
      </c>
    </row>
    <row r="141" spans="1:19" x14ac:dyDescent="0.25">
      <c r="A141" s="3" t="s">
        <v>816</v>
      </c>
      <c r="B141" s="10">
        <f>6838+1485</f>
        <v>8323</v>
      </c>
      <c r="C141" s="11">
        <f t="shared" si="19"/>
        <v>6.3926204136808065E-2</v>
      </c>
      <c r="E141" s="3">
        <v>2</v>
      </c>
      <c r="F141" s="3" t="s">
        <v>801</v>
      </c>
      <c r="G141" s="3" t="s">
        <v>817</v>
      </c>
      <c r="H141" s="46">
        <v>0.71666666666666667</v>
      </c>
      <c r="I141" s="47" t="s">
        <v>926</v>
      </c>
      <c r="J141" s="48">
        <v>45482</v>
      </c>
      <c r="L141" s="3">
        <f>(22-15)+(64-58)</f>
        <v>13</v>
      </c>
      <c r="M141" s="3">
        <f>4+2</f>
        <v>6</v>
      </c>
      <c r="N141" s="3">
        <f t="shared" si="16"/>
        <v>7</v>
      </c>
      <c r="O141" s="3" t="s">
        <v>801</v>
      </c>
      <c r="P141" s="3" t="s">
        <v>817</v>
      </c>
      <c r="Q141" s="46">
        <v>0.71666666666666667</v>
      </c>
      <c r="R141" s="47" t="s">
        <v>926</v>
      </c>
      <c r="S141" s="48">
        <v>45482</v>
      </c>
    </row>
    <row r="142" spans="1:19" x14ac:dyDescent="0.25">
      <c r="A142" s="14" t="s">
        <v>818</v>
      </c>
      <c r="B142" s="10">
        <f>4764+3378</f>
        <v>8142</v>
      </c>
      <c r="C142" s="11">
        <f t="shared" si="19"/>
        <v>6.2536003133712756E-2</v>
      </c>
      <c r="E142" s="3">
        <v>3</v>
      </c>
      <c r="F142" s="3" t="s">
        <v>801</v>
      </c>
      <c r="G142" s="3" t="s">
        <v>819</v>
      </c>
      <c r="H142" s="46">
        <v>0.75138888888888888</v>
      </c>
      <c r="I142" s="47" t="s">
        <v>925</v>
      </c>
      <c r="J142" s="48">
        <v>45482</v>
      </c>
      <c r="L142" s="3">
        <f>(7-7)+(19-14)+(29-26)</f>
        <v>8</v>
      </c>
      <c r="M142" s="3">
        <f>3+2</f>
        <v>5</v>
      </c>
      <c r="N142" s="3">
        <f>L142-M142</f>
        <v>3</v>
      </c>
      <c r="O142" s="3" t="s">
        <v>801</v>
      </c>
      <c r="P142" s="3" t="s">
        <v>819</v>
      </c>
      <c r="Q142" s="46">
        <v>0.75138888888888888</v>
      </c>
      <c r="R142" s="47" t="s">
        <v>925</v>
      </c>
      <c r="S142" s="48">
        <v>45482</v>
      </c>
    </row>
    <row r="143" spans="1:19" x14ac:dyDescent="0.25">
      <c r="B143" s="21">
        <f>SUM(B133:B142)</f>
        <v>130197</v>
      </c>
      <c r="C143" s="22">
        <f t="shared" si="19"/>
        <v>1</v>
      </c>
      <c r="D143" s="18"/>
      <c r="E143" s="39">
        <f>E133*C133+E134*C134+E135*C135+E136*C136+E137*C137+E138*C138+E139*C139+E140*C140+E141*C141+E142*C142</f>
        <v>1.4606020107990199</v>
      </c>
      <c r="L143" s="39"/>
      <c r="M143" s="39"/>
      <c r="N143" s="39">
        <f>N133*$C133+N134*$C134+N135*$C135+N136*$C136+N137*$C137+N138*$C138+N139*$C139+N140*$C140+N141*$C141+N142*$C142</f>
        <v>2.8965337142944918</v>
      </c>
    </row>
    <row r="144" spans="1:19" x14ac:dyDescent="0.25">
      <c r="B144" s="10"/>
      <c r="C144" s="26"/>
      <c r="E144" s="13"/>
      <c r="L144" s="13"/>
      <c r="M144" s="13"/>
      <c r="N144" s="13"/>
    </row>
    <row r="145" spans="1:19" x14ac:dyDescent="0.25">
      <c r="A145" s="9" t="s">
        <v>936</v>
      </c>
      <c r="B145" s="10"/>
      <c r="C145" s="26"/>
      <c r="E145" s="13"/>
      <c r="L145" s="13"/>
      <c r="M145" s="13"/>
      <c r="N145" s="13"/>
    </row>
    <row r="146" spans="1:19" x14ac:dyDescent="0.25">
      <c r="A146" s="3" t="s">
        <v>820</v>
      </c>
      <c r="B146" s="10">
        <f>4328+2797</f>
        <v>7125</v>
      </c>
      <c r="C146" s="26">
        <f>B146/B$156</f>
        <v>0.12705743887868468</v>
      </c>
      <c r="E146" s="45">
        <v>0</v>
      </c>
      <c r="F146" s="3" t="s">
        <v>821</v>
      </c>
      <c r="G146" s="3" t="s">
        <v>822</v>
      </c>
      <c r="H146" s="46">
        <v>0.71944444444444444</v>
      </c>
      <c r="I146" s="47" t="s">
        <v>927</v>
      </c>
      <c r="J146" s="48">
        <v>45486</v>
      </c>
      <c r="L146" s="45">
        <v>0</v>
      </c>
      <c r="M146" s="45"/>
      <c r="N146" s="3">
        <f t="shared" ref="N146:N155" si="20">L146-M146</f>
        <v>0</v>
      </c>
      <c r="O146" s="3" t="s">
        <v>821</v>
      </c>
      <c r="P146" s="3" t="s">
        <v>822</v>
      </c>
      <c r="Q146" s="46">
        <v>0.71944444444444444</v>
      </c>
      <c r="R146" s="47" t="s">
        <v>927</v>
      </c>
      <c r="S146" s="48">
        <v>45486</v>
      </c>
    </row>
    <row r="147" spans="1:19" x14ac:dyDescent="0.25">
      <c r="A147" s="3" t="s">
        <v>823</v>
      </c>
      <c r="B147" s="10">
        <f>4764+1717</f>
        <v>6481</v>
      </c>
      <c r="C147" s="26">
        <f t="shared" ref="C147:C155" si="21">B147/B$156</f>
        <v>0.11557322966635163</v>
      </c>
      <c r="E147" s="45">
        <v>0</v>
      </c>
      <c r="F147" s="3" t="s">
        <v>824</v>
      </c>
      <c r="G147" s="3" t="s">
        <v>825</v>
      </c>
      <c r="H147" s="46">
        <v>0.70138888888888884</v>
      </c>
      <c r="I147" s="47" t="s">
        <v>927</v>
      </c>
      <c r="J147" s="48">
        <v>45486</v>
      </c>
      <c r="L147" s="45">
        <v>0</v>
      </c>
      <c r="M147" s="45"/>
      <c r="N147" s="3">
        <f t="shared" si="20"/>
        <v>0</v>
      </c>
      <c r="O147" s="3" t="s">
        <v>824</v>
      </c>
      <c r="P147" s="3" t="s">
        <v>825</v>
      </c>
      <c r="Q147" s="46">
        <v>0.70138888888888884</v>
      </c>
      <c r="R147" s="47" t="s">
        <v>927</v>
      </c>
      <c r="S147" s="48">
        <v>45486</v>
      </c>
    </row>
    <row r="148" spans="1:19" x14ac:dyDescent="0.25">
      <c r="A148" s="3" t="s">
        <v>826</v>
      </c>
      <c r="B148" s="10">
        <f>4168+1788</f>
        <v>5956</v>
      </c>
      <c r="C148" s="26">
        <f t="shared" si="21"/>
        <v>0.10621110259108012</v>
      </c>
      <c r="E148" s="45">
        <v>1</v>
      </c>
      <c r="F148" s="3" t="s">
        <v>821</v>
      </c>
      <c r="G148" s="3" t="s">
        <v>827</v>
      </c>
      <c r="H148" s="46">
        <v>0.71250000000000002</v>
      </c>
      <c r="I148" s="47" t="s">
        <v>927</v>
      </c>
      <c r="J148" s="48">
        <v>45486</v>
      </c>
      <c r="L148" s="45">
        <f>13-11</f>
        <v>2</v>
      </c>
      <c r="M148" s="45">
        <v>2</v>
      </c>
      <c r="N148" s="3">
        <f t="shared" si="20"/>
        <v>0</v>
      </c>
      <c r="O148" s="3" t="s">
        <v>821</v>
      </c>
      <c r="P148" s="3" t="s">
        <v>827</v>
      </c>
      <c r="Q148" s="46">
        <v>0.71250000000000002</v>
      </c>
      <c r="R148" s="47" t="s">
        <v>927</v>
      </c>
      <c r="S148" s="48">
        <v>45486</v>
      </c>
    </row>
    <row r="149" spans="1:19" x14ac:dyDescent="0.25">
      <c r="A149" s="3" t="s">
        <v>828</v>
      </c>
      <c r="B149" s="10">
        <f>3546+2251</f>
        <v>5797</v>
      </c>
      <c r="C149" s="26">
        <f t="shared" si="21"/>
        <v>0.10337571553399789</v>
      </c>
      <c r="E149" s="45">
        <v>2</v>
      </c>
      <c r="F149" s="3" t="s">
        <v>824</v>
      </c>
      <c r="G149" s="3" t="s">
        <v>829</v>
      </c>
      <c r="H149" s="46">
        <v>0.74791666666666667</v>
      </c>
      <c r="I149" s="47" t="s">
        <v>927</v>
      </c>
      <c r="J149" s="48">
        <v>45486</v>
      </c>
      <c r="L149" s="45">
        <f>(8-5)+(22-19)</f>
        <v>6</v>
      </c>
      <c r="M149" s="45">
        <v>3</v>
      </c>
      <c r="N149" s="3">
        <f t="shared" si="20"/>
        <v>3</v>
      </c>
      <c r="O149" s="3" t="s">
        <v>824</v>
      </c>
      <c r="P149" s="3" t="s">
        <v>829</v>
      </c>
      <c r="Q149" s="46">
        <v>0.74791666666666667</v>
      </c>
      <c r="R149" s="47" t="s">
        <v>927</v>
      </c>
      <c r="S149" s="48">
        <v>45486</v>
      </c>
    </row>
    <row r="150" spans="1:19" x14ac:dyDescent="0.25">
      <c r="A150" s="3" t="s">
        <v>830</v>
      </c>
      <c r="B150" s="10">
        <f>2745+2905</f>
        <v>5650</v>
      </c>
      <c r="C150" s="26">
        <f t="shared" si="21"/>
        <v>0.10075431995292188</v>
      </c>
      <c r="E150" s="45">
        <v>2</v>
      </c>
      <c r="F150" s="3" t="s">
        <v>824</v>
      </c>
      <c r="G150" s="3" t="s">
        <v>831</v>
      </c>
      <c r="H150" s="46">
        <v>0.71666666666666667</v>
      </c>
      <c r="I150" s="47" t="s">
        <v>927</v>
      </c>
      <c r="J150" s="48">
        <v>45486</v>
      </c>
      <c r="L150" s="45">
        <f>(25-17)+(50-44)</f>
        <v>14</v>
      </c>
      <c r="M150" s="45">
        <f>4+5</f>
        <v>9</v>
      </c>
      <c r="N150" s="3">
        <f t="shared" si="20"/>
        <v>5</v>
      </c>
      <c r="O150" s="3" t="s">
        <v>824</v>
      </c>
      <c r="P150" s="3" t="s">
        <v>831</v>
      </c>
      <c r="Q150" s="46">
        <v>0.71666666666666667</v>
      </c>
      <c r="R150" s="47" t="s">
        <v>927</v>
      </c>
      <c r="S150" s="48">
        <v>45486</v>
      </c>
    </row>
    <row r="151" spans="1:19" x14ac:dyDescent="0.25">
      <c r="A151" s="3" t="s">
        <v>832</v>
      </c>
      <c r="B151" s="10">
        <f>3586+1826</f>
        <v>5412</v>
      </c>
      <c r="C151" s="26">
        <f t="shared" si="21"/>
        <v>9.6510155678798795E-2</v>
      </c>
      <c r="E151" s="45">
        <v>0</v>
      </c>
      <c r="F151" s="3" t="s">
        <v>824</v>
      </c>
      <c r="G151" s="3" t="s">
        <v>833</v>
      </c>
      <c r="H151" s="46">
        <v>0.68680555555555556</v>
      </c>
      <c r="I151" s="47" t="s">
        <v>927</v>
      </c>
      <c r="J151" s="48">
        <v>45486</v>
      </c>
      <c r="L151" s="45">
        <v>0</v>
      </c>
      <c r="M151" s="45"/>
      <c r="N151" s="3">
        <f t="shared" si="20"/>
        <v>0</v>
      </c>
      <c r="O151" s="3" t="s">
        <v>824</v>
      </c>
      <c r="P151" s="3" t="s">
        <v>833</v>
      </c>
      <c r="Q151" s="46">
        <v>0.68680555555555556</v>
      </c>
      <c r="R151" s="47" t="s">
        <v>927</v>
      </c>
      <c r="S151" s="48">
        <v>45486</v>
      </c>
    </row>
    <row r="152" spans="1:19" x14ac:dyDescent="0.25">
      <c r="A152" s="3" t="s">
        <v>834</v>
      </c>
      <c r="B152" s="10">
        <f>4526+678</f>
        <v>5204</v>
      </c>
      <c r="C152" s="26">
        <f t="shared" si="21"/>
        <v>9.2800970094691224E-2</v>
      </c>
      <c r="E152" s="45">
        <v>1</v>
      </c>
      <c r="F152" s="3" t="s">
        <v>835</v>
      </c>
      <c r="G152" s="3" t="s">
        <v>836</v>
      </c>
      <c r="H152" s="46">
        <v>0.70972222222222225</v>
      </c>
      <c r="I152" s="47" t="s">
        <v>927</v>
      </c>
      <c r="J152" s="48">
        <v>45486</v>
      </c>
      <c r="L152" s="45">
        <f>15-10</f>
        <v>5</v>
      </c>
      <c r="M152" s="45">
        <v>2</v>
      </c>
      <c r="N152" s="3">
        <f t="shared" si="20"/>
        <v>3</v>
      </c>
      <c r="O152" s="3" t="s">
        <v>835</v>
      </c>
      <c r="P152" s="3" t="s">
        <v>836</v>
      </c>
      <c r="Q152" s="46">
        <v>0.70972222222222225</v>
      </c>
      <c r="R152" s="47" t="s">
        <v>927</v>
      </c>
      <c r="S152" s="48">
        <v>45486</v>
      </c>
    </row>
    <row r="153" spans="1:19" x14ac:dyDescent="0.25">
      <c r="A153" s="3" t="s">
        <v>837</v>
      </c>
      <c r="B153" s="10">
        <f>2696+2356</f>
        <v>5052</v>
      </c>
      <c r="C153" s="26">
        <f t="shared" si="21"/>
        <v>9.0090411398612624E-2</v>
      </c>
      <c r="E153" s="45">
        <v>0</v>
      </c>
      <c r="F153" s="3" t="s">
        <v>838</v>
      </c>
      <c r="G153" s="3" t="s">
        <v>839</v>
      </c>
      <c r="H153" s="46">
        <v>0.69652777777777775</v>
      </c>
      <c r="I153" s="47" t="s">
        <v>927</v>
      </c>
      <c r="J153" s="48">
        <v>45486</v>
      </c>
      <c r="L153" s="45">
        <v>0</v>
      </c>
      <c r="M153" s="45"/>
      <c r="N153" s="3">
        <f t="shared" si="20"/>
        <v>0</v>
      </c>
      <c r="O153" s="3" t="s">
        <v>838</v>
      </c>
      <c r="P153" s="3" t="s">
        <v>839</v>
      </c>
      <c r="Q153" s="46">
        <v>0.69652777777777775</v>
      </c>
      <c r="R153" s="47" t="s">
        <v>927</v>
      </c>
      <c r="S153" s="48">
        <v>45486</v>
      </c>
    </row>
    <row r="154" spans="1:19" x14ac:dyDescent="0.25">
      <c r="A154" s="3" t="s">
        <v>840</v>
      </c>
      <c r="B154" s="10">
        <f>4034+689</f>
        <v>4723</v>
      </c>
      <c r="C154" s="26">
        <f t="shared" si="21"/>
        <v>8.4223478431442483E-2</v>
      </c>
      <c r="E154" s="45">
        <v>1</v>
      </c>
      <c r="F154" s="3" t="s">
        <v>824</v>
      </c>
      <c r="G154" s="3" t="s">
        <v>841</v>
      </c>
      <c r="H154" s="46">
        <v>0.70763888888888893</v>
      </c>
      <c r="I154" s="47" t="s">
        <v>927</v>
      </c>
      <c r="J154" s="48">
        <v>45486</v>
      </c>
      <c r="L154" s="45">
        <f>17-12</f>
        <v>5</v>
      </c>
      <c r="M154" s="45">
        <v>5</v>
      </c>
      <c r="N154" s="3">
        <f t="shared" si="20"/>
        <v>0</v>
      </c>
      <c r="O154" s="3" t="s">
        <v>824</v>
      </c>
      <c r="P154" s="3" t="s">
        <v>841</v>
      </c>
      <c r="Q154" s="46">
        <v>0.70763888888888893</v>
      </c>
      <c r="R154" s="47" t="s">
        <v>927</v>
      </c>
      <c r="S154" s="48">
        <v>45486</v>
      </c>
    </row>
    <row r="155" spans="1:19" x14ac:dyDescent="0.25">
      <c r="A155" s="3" t="s">
        <v>842</v>
      </c>
      <c r="B155" s="10">
        <f>3840+837</f>
        <v>4677</v>
      </c>
      <c r="C155" s="26">
        <f t="shared" si="21"/>
        <v>8.3403177773418685E-2</v>
      </c>
      <c r="E155" s="45">
        <v>1</v>
      </c>
      <c r="F155" s="3" t="s">
        <v>824</v>
      </c>
      <c r="G155" s="3" t="s">
        <v>843</v>
      </c>
      <c r="H155" s="46">
        <v>0.71180555555555558</v>
      </c>
      <c r="I155" s="47" t="s">
        <v>927</v>
      </c>
      <c r="J155" s="48">
        <v>45486</v>
      </c>
      <c r="L155" s="13">
        <f>15-10</f>
        <v>5</v>
      </c>
      <c r="M155" s="13">
        <v>3</v>
      </c>
      <c r="N155" s="3">
        <f t="shared" si="20"/>
        <v>2</v>
      </c>
      <c r="O155" s="3" t="s">
        <v>824</v>
      </c>
      <c r="P155" s="3" t="s">
        <v>843</v>
      </c>
      <c r="Q155" s="46">
        <v>0.71180555555555558</v>
      </c>
      <c r="R155" s="47" t="s">
        <v>927</v>
      </c>
      <c r="S155" s="48">
        <v>45486</v>
      </c>
    </row>
    <row r="156" spans="1:19" x14ac:dyDescent="0.25">
      <c r="A156" s="18"/>
      <c r="B156" s="21">
        <f>SUM(B146:B155)</f>
        <v>56077</v>
      </c>
      <c r="C156" s="22">
        <f>B156/B$156</f>
        <v>1</v>
      </c>
      <c r="D156" s="18"/>
      <c r="E156" s="39">
        <f>E146*C146+E147*C147+E148*C148+E149*C149+E150*C150+E151*C151+E152*C152+E153*C153+E154*C154+E155*C155</f>
        <v>0.77489879986447208</v>
      </c>
      <c r="L156" s="18"/>
      <c r="M156" s="18"/>
      <c r="N156" s="39">
        <f>N146*$C146+N147*$C147+N148*$C148+N149*$C149+N150*$C150+N151*$C151+N152*$C152+N153*$C153+N154*$C154+N155*$C155</f>
        <v>1.259108012197514</v>
      </c>
    </row>
    <row r="158" spans="1:19" x14ac:dyDescent="0.25">
      <c r="A158" s="9" t="s">
        <v>937</v>
      </c>
    </row>
    <row r="159" spans="1:19" x14ac:dyDescent="0.25">
      <c r="A159" s="3" t="s">
        <v>844</v>
      </c>
      <c r="B159" s="10">
        <f>5498+2790</f>
        <v>8288</v>
      </c>
      <c r="C159" s="11">
        <f t="shared" ref="C159:C169" si="22">B159/B$169</f>
        <v>0.1806924217319264</v>
      </c>
      <c r="E159" s="3">
        <v>0</v>
      </c>
      <c r="F159" s="3" t="s">
        <v>845</v>
      </c>
      <c r="G159" s="3" t="s">
        <v>846</v>
      </c>
      <c r="H159" s="46">
        <v>0.67986111111111114</v>
      </c>
      <c r="I159" s="49" t="s">
        <v>928</v>
      </c>
      <c r="J159" s="48">
        <v>45490</v>
      </c>
      <c r="N159" s="3">
        <f>L159-M159</f>
        <v>0</v>
      </c>
      <c r="O159" s="3" t="s">
        <v>845</v>
      </c>
      <c r="P159" s="3" t="s">
        <v>847</v>
      </c>
      <c r="Q159" s="46">
        <v>0.67986111111111114</v>
      </c>
      <c r="R159" s="49" t="s">
        <v>928</v>
      </c>
      <c r="S159" s="48">
        <v>45490</v>
      </c>
    </row>
    <row r="160" spans="1:19" x14ac:dyDescent="0.25">
      <c r="A160" s="3" t="s">
        <v>848</v>
      </c>
      <c r="B160" s="10">
        <f>4426+3095</f>
        <v>7521</v>
      </c>
      <c r="C160" s="11">
        <f t="shared" si="22"/>
        <v>0.16397052411267116</v>
      </c>
      <c r="E160" s="3">
        <v>2</v>
      </c>
      <c r="F160" s="3" t="s">
        <v>849</v>
      </c>
      <c r="G160" s="3" t="s">
        <v>850</v>
      </c>
      <c r="H160" s="46">
        <v>0.70416666666666672</v>
      </c>
      <c r="I160" s="49" t="s">
        <v>928</v>
      </c>
      <c r="J160" s="48">
        <v>45492</v>
      </c>
      <c r="L160" s="3">
        <f>(7-0)+(21-17)</f>
        <v>11</v>
      </c>
      <c r="M160" s="3">
        <f>4+3</f>
        <v>7</v>
      </c>
      <c r="N160" s="3">
        <f>L160-M160</f>
        <v>4</v>
      </c>
      <c r="O160" s="3" t="s">
        <v>845</v>
      </c>
      <c r="P160" s="3" t="s">
        <v>850</v>
      </c>
      <c r="Q160" s="46">
        <v>0.70416666666666672</v>
      </c>
      <c r="R160" s="49" t="s">
        <v>928</v>
      </c>
      <c r="S160" s="48">
        <v>45492</v>
      </c>
    </row>
    <row r="161" spans="1:19" x14ac:dyDescent="0.25">
      <c r="A161" s="3" t="s">
        <v>851</v>
      </c>
      <c r="B161" s="10">
        <f>2739+1665</f>
        <v>4404</v>
      </c>
      <c r="C161" s="11">
        <f t="shared" si="22"/>
        <v>9.6014650736897189E-2</v>
      </c>
      <c r="E161" s="3">
        <v>2</v>
      </c>
      <c r="F161" s="3" t="s">
        <v>845</v>
      </c>
      <c r="G161" s="3" t="s">
        <v>852</v>
      </c>
      <c r="H161" s="49">
        <v>0.69374999999999998</v>
      </c>
      <c r="I161" s="49" t="s">
        <v>928</v>
      </c>
      <c r="J161" s="48">
        <v>45492</v>
      </c>
      <c r="L161" s="3">
        <f>(51-45)+(17-8)</f>
        <v>15</v>
      </c>
      <c r="M161" s="3">
        <f>4+5</f>
        <v>9</v>
      </c>
      <c r="N161" s="3">
        <f t="shared" ref="N161:N163" si="23">L161-M161</f>
        <v>6</v>
      </c>
      <c r="O161" s="3" t="s">
        <v>845</v>
      </c>
      <c r="P161" s="3" t="s">
        <v>852</v>
      </c>
      <c r="Q161" s="49">
        <v>0.69374999999999998</v>
      </c>
      <c r="R161" s="49" t="s">
        <v>928</v>
      </c>
      <c r="S161" s="48">
        <v>45492</v>
      </c>
    </row>
    <row r="162" spans="1:19" x14ac:dyDescent="0.25">
      <c r="A162" s="3" t="s">
        <v>853</v>
      </c>
      <c r="B162" s="10">
        <f>2650+1654</f>
        <v>4304</v>
      </c>
      <c r="C162" s="11">
        <f t="shared" si="22"/>
        <v>9.3834481555768734E-2</v>
      </c>
      <c r="E162" s="3">
        <v>0</v>
      </c>
      <c r="F162" s="3" t="s">
        <v>845</v>
      </c>
      <c r="G162" s="3" t="s">
        <v>854</v>
      </c>
      <c r="H162" s="46">
        <v>0.67152777777777772</v>
      </c>
      <c r="I162" s="49" t="s">
        <v>928</v>
      </c>
      <c r="J162" s="48">
        <v>45490</v>
      </c>
      <c r="N162" s="3">
        <f t="shared" si="23"/>
        <v>0</v>
      </c>
      <c r="O162" s="3" t="s">
        <v>845</v>
      </c>
      <c r="P162" s="3" t="s">
        <v>854</v>
      </c>
      <c r="Q162" s="46">
        <v>0.67152777777777772</v>
      </c>
      <c r="R162" s="49" t="s">
        <v>928</v>
      </c>
      <c r="S162" s="48">
        <v>45490</v>
      </c>
    </row>
    <row r="163" spans="1:19" x14ac:dyDescent="0.25">
      <c r="A163" s="3" t="s">
        <v>855</v>
      </c>
      <c r="B163" s="10">
        <f>2325+1646</f>
        <v>3971</v>
      </c>
      <c r="C163" s="11">
        <f t="shared" si="22"/>
        <v>8.6574518182610971E-2</v>
      </c>
      <c r="E163" s="3">
        <v>2</v>
      </c>
      <c r="F163" s="3" t="s">
        <v>845</v>
      </c>
      <c r="G163" s="3" t="s">
        <v>856</v>
      </c>
      <c r="H163" s="46">
        <v>0.71458333333333335</v>
      </c>
      <c r="I163" s="49" t="s">
        <v>928</v>
      </c>
      <c r="J163" s="48">
        <v>45490</v>
      </c>
      <c r="L163" s="3">
        <f>(19-15)+(36-34)</f>
        <v>6</v>
      </c>
      <c r="M163" s="3">
        <f>2+4</f>
        <v>6</v>
      </c>
      <c r="N163" s="3">
        <f t="shared" si="23"/>
        <v>0</v>
      </c>
      <c r="O163" s="3" t="s">
        <v>845</v>
      </c>
      <c r="P163" s="3" t="s">
        <v>856</v>
      </c>
      <c r="Q163" s="46">
        <v>0.71458333333333335</v>
      </c>
      <c r="R163" s="49" t="s">
        <v>928</v>
      </c>
      <c r="S163" s="48">
        <v>45490</v>
      </c>
    </row>
    <row r="164" spans="1:19" x14ac:dyDescent="0.25">
      <c r="A164" s="3" t="s">
        <v>857</v>
      </c>
      <c r="B164" s="10">
        <f>2876+915</f>
        <v>3791</v>
      </c>
      <c r="C164" s="11">
        <f t="shared" si="22"/>
        <v>8.2650213656579749E-2</v>
      </c>
      <c r="E164" s="3">
        <v>0</v>
      </c>
      <c r="F164" s="3" t="s">
        <v>845</v>
      </c>
      <c r="G164" s="3" t="s">
        <v>858</v>
      </c>
      <c r="H164" s="46">
        <v>0.69444444444444442</v>
      </c>
      <c r="I164" s="49" t="s">
        <v>928</v>
      </c>
      <c r="J164" s="48">
        <v>45490</v>
      </c>
      <c r="N164" s="3">
        <f>L164-M164</f>
        <v>0</v>
      </c>
      <c r="O164" s="3" t="s">
        <v>845</v>
      </c>
      <c r="P164" s="3" t="s">
        <v>858</v>
      </c>
      <c r="Q164" s="46">
        <v>0.69444444444444442</v>
      </c>
      <c r="R164" s="49" t="s">
        <v>928</v>
      </c>
      <c r="S164" s="48">
        <v>45490</v>
      </c>
    </row>
    <row r="165" spans="1:19" x14ac:dyDescent="0.25">
      <c r="A165" s="3" t="s">
        <v>859</v>
      </c>
      <c r="B165" s="10">
        <f>2981+541</f>
        <v>3522</v>
      </c>
      <c r="C165" s="11">
        <f t="shared" si="22"/>
        <v>7.67855585593442E-2</v>
      </c>
      <c r="E165" s="3">
        <v>1</v>
      </c>
      <c r="F165" s="3" t="s">
        <v>845</v>
      </c>
      <c r="G165" s="3" t="s">
        <v>860</v>
      </c>
      <c r="H165" s="46">
        <v>0.67986111111111114</v>
      </c>
      <c r="I165" s="49" t="s">
        <v>928</v>
      </c>
      <c r="J165" s="48">
        <v>45490</v>
      </c>
      <c r="L165" s="3">
        <f>49-41</f>
        <v>8</v>
      </c>
      <c r="N165" s="3">
        <f>L165-M165</f>
        <v>8</v>
      </c>
      <c r="O165" s="3" t="s">
        <v>845</v>
      </c>
      <c r="P165" s="3" t="s">
        <v>860</v>
      </c>
      <c r="Q165" s="46">
        <v>0.67986111111111114</v>
      </c>
      <c r="R165" s="49" t="s">
        <v>928</v>
      </c>
      <c r="S165" s="48">
        <v>45490</v>
      </c>
    </row>
    <row r="166" spans="1:19" x14ac:dyDescent="0.25">
      <c r="A166" s="3" t="s">
        <v>861</v>
      </c>
      <c r="B166" s="10">
        <f>2994+413</f>
        <v>3407</v>
      </c>
      <c r="C166" s="11">
        <f t="shared" si="22"/>
        <v>7.4278364001046482E-2</v>
      </c>
      <c r="E166" s="3">
        <v>1</v>
      </c>
      <c r="F166" s="3" t="s">
        <v>845</v>
      </c>
      <c r="G166" s="3" t="s">
        <v>862</v>
      </c>
      <c r="H166" s="46">
        <v>0.68333333333333335</v>
      </c>
      <c r="I166" s="49" t="s">
        <v>928</v>
      </c>
      <c r="J166" s="48">
        <v>45490</v>
      </c>
      <c r="L166" s="3">
        <f>55-47</f>
        <v>8</v>
      </c>
      <c r="N166" s="3">
        <f>L166-M166</f>
        <v>8</v>
      </c>
      <c r="O166" s="3" t="s">
        <v>845</v>
      </c>
      <c r="P166" s="3" t="s">
        <v>862</v>
      </c>
      <c r="Q166" s="46">
        <v>0.68333333333333335</v>
      </c>
      <c r="R166" s="49" t="s">
        <v>928</v>
      </c>
      <c r="S166" s="48">
        <v>45490</v>
      </c>
    </row>
    <row r="167" spans="1:19" x14ac:dyDescent="0.25">
      <c r="A167" s="3" t="s">
        <v>863</v>
      </c>
      <c r="B167" s="10">
        <v>3346</v>
      </c>
      <c r="C167" s="11">
        <f t="shared" si="22"/>
        <v>7.2948460800558126E-2</v>
      </c>
      <c r="E167" s="3">
        <v>1</v>
      </c>
      <c r="F167" s="3" t="s">
        <v>856</v>
      </c>
      <c r="G167" s="3" t="s">
        <v>864</v>
      </c>
      <c r="H167" s="46">
        <v>0.68472222222222223</v>
      </c>
      <c r="I167" s="49" t="s">
        <v>928</v>
      </c>
      <c r="J167" s="48">
        <v>45492</v>
      </c>
      <c r="L167" s="3">
        <f>35-33</f>
        <v>2</v>
      </c>
      <c r="M167" s="3">
        <v>2</v>
      </c>
      <c r="N167" s="3">
        <f>L167-M167</f>
        <v>0</v>
      </c>
      <c r="O167" s="3" t="s">
        <v>856</v>
      </c>
      <c r="P167" s="3" t="s">
        <v>864</v>
      </c>
      <c r="Q167" s="46">
        <v>0.68472222222222223</v>
      </c>
      <c r="R167" s="49" t="s">
        <v>928</v>
      </c>
      <c r="S167" s="48">
        <v>45492</v>
      </c>
    </row>
    <row r="168" spans="1:19" x14ac:dyDescent="0.25">
      <c r="A168" s="3" t="s">
        <v>865</v>
      </c>
      <c r="B168" s="10">
        <f>1617+1697</f>
        <v>3314</v>
      </c>
      <c r="C168" s="11">
        <f t="shared" si="22"/>
        <v>7.225080666259702E-2</v>
      </c>
      <c r="E168" s="3">
        <v>2</v>
      </c>
      <c r="F168" s="3" t="s">
        <v>845</v>
      </c>
      <c r="G168" s="3" t="s">
        <v>866</v>
      </c>
      <c r="H168" s="46">
        <v>0.78402777777777777</v>
      </c>
      <c r="I168" s="49" t="s">
        <v>928</v>
      </c>
      <c r="J168" s="48">
        <v>45492</v>
      </c>
      <c r="L168" s="3">
        <f>(63-59)+(30-27)</f>
        <v>7</v>
      </c>
      <c r="M168" s="3">
        <f>4+3</f>
        <v>7</v>
      </c>
      <c r="N168" s="3">
        <f>L168-M168</f>
        <v>0</v>
      </c>
      <c r="O168" s="3" t="s">
        <v>845</v>
      </c>
      <c r="P168" s="3" t="s">
        <v>866</v>
      </c>
      <c r="Q168" s="46">
        <v>0.78402777777777777</v>
      </c>
      <c r="R168" s="49" t="s">
        <v>928</v>
      </c>
      <c r="S168" s="48">
        <v>45492</v>
      </c>
    </row>
    <row r="169" spans="1:19" x14ac:dyDescent="0.25">
      <c r="A169" s="18"/>
      <c r="B169" s="21">
        <f>SUM(B159:B168)</f>
        <v>45868</v>
      </c>
      <c r="C169" s="22">
        <f t="shared" si="22"/>
        <v>1</v>
      </c>
      <c r="D169" s="18"/>
      <c r="E169" s="39">
        <f>E159*$C159+E160*$C160+E161*$C161+E162*$C162+E163*$C163+E164*$C164+E165*$C165+E166*$C166+E167*$C167+E168*$C168</f>
        <v>1.0616333827505016</v>
      </c>
      <c r="L169" s="39"/>
      <c r="M169" s="39"/>
      <c r="N169" s="39">
        <f>N159*$C159+N160*$C160+N161*$C161+N162*$C162+N163*$C163+N164*$C164+N165*$C165+N166*$C166+N167*$C167+N168*$C168</f>
        <v>2.4404813813551933</v>
      </c>
    </row>
    <row r="170" spans="1:19" x14ac:dyDescent="0.25">
      <c r="B170" s="10"/>
      <c r="C170" s="26"/>
      <c r="E170" s="13"/>
      <c r="L170" s="13"/>
      <c r="M170" s="13"/>
      <c r="N170" s="13"/>
    </row>
  </sheetData>
  <phoneticPr fontId="14" type="noConversion"/>
  <pageMargins left="0.7" right="0.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D70E2-42BE-4390-934D-127E604AE88A}">
  <dimension ref="A1:G649"/>
  <sheetViews>
    <sheetView workbookViewId="0"/>
  </sheetViews>
  <sheetFormatPr baseColWidth="10" defaultColWidth="11.28515625" defaultRowHeight="15" x14ac:dyDescent="0.25"/>
  <cols>
    <col min="1" max="1" width="22.42578125" style="3" customWidth="1"/>
    <col min="2" max="2" width="17.28515625" style="3" customWidth="1"/>
    <col min="3" max="3" width="17.5703125" style="3" customWidth="1"/>
    <col min="4" max="4" width="2.85546875" style="3" customWidth="1"/>
    <col min="5" max="5" width="16.28515625" style="3" customWidth="1"/>
    <col min="6" max="6" width="17.28515625" style="3" customWidth="1"/>
    <col min="7" max="16384" width="11.28515625" style="3"/>
  </cols>
  <sheetData>
    <row r="1" spans="1:6" ht="60" x14ac:dyDescent="0.25">
      <c r="A1" s="8"/>
      <c r="B1" s="7" t="s">
        <v>597</v>
      </c>
      <c r="C1" s="7" t="s">
        <v>598</v>
      </c>
      <c r="D1" s="8"/>
      <c r="E1" s="7" t="s">
        <v>906</v>
      </c>
      <c r="F1" s="7" t="s">
        <v>908</v>
      </c>
    </row>
    <row r="2" spans="1:6" x14ac:dyDescent="0.25">
      <c r="A2" s="9" t="s">
        <v>942</v>
      </c>
    </row>
    <row r="3" spans="1:6" x14ac:dyDescent="0.25">
      <c r="A3" s="3" t="s">
        <v>1</v>
      </c>
      <c r="B3" s="10">
        <v>10893</v>
      </c>
      <c r="C3" s="11">
        <f t="shared" ref="C3:C10" si="0">B3/B$10</f>
        <v>9.46698765024378E-2</v>
      </c>
      <c r="E3" s="12">
        <v>16.3</v>
      </c>
      <c r="F3" s="13">
        <f t="shared" ref="F3:F9" si="1">E3*C3</f>
        <v>1.5431189869897362</v>
      </c>
    </row>
    <row r="4" spans="1:6" x14ac:dyDescent="0.25">
      <c r="A4" s="3" t="s">
        <v>2</v>
      </c>
      <c r="B4" s="10">
        <v>21695</v>
      </c>
      <c r="C4" s="11">
        <f t="shared" si="0"/>
        <v>0.18854888191686295</v>
      </c>
      <c r="E4" s="12">
        <v>16.239999999999998</v>
      </c>
      <c r="F4" s="13">
        <f t="shared" si="1"/>
        <v>3.0620338423298539</v>
      </c>
    </row>
    <row r="5" spans="1:6" x14ac:dyDescent="0.25">
      <c r="A5" s="3" t="s">
        <v>3</v>
      </c>
      <c r="B5" s="10">
        <v>11452</v>
      </c>
      <c r="C5" s="11">
        <f t="shared" si="0"/>
        <v>9.9528084614515525E-2</v>
      </c>
      <c r="E5" s="12">
        <v>13.83</v>
      </c>
      <c r="F5" s="13">
        <f t="shared" si="1"/>
        <v>1.3764734102187497</v>
      </c>
    </row>
    <row r="6" spans="1:6" x14ac:dyDescent="0.25">
      <c r="A6" s="3" t="s">
        <v>4</v>
      </c>
      <c r="B6" s="10">
        <v>16306</v>
      </c>
      <c r="C6" s="11">
        <f t="shared" si="0"/>
        <v>0.14171366990257511</v>
      </c>
      <c r="E6" s="12">
        <v>13.9</v>
      </c>
      <c r="F6" s="13">
        <f t="shared" si="1"/>
        <v>1.969820011645794</v>
      </c>
    </row>
    <row r="7" spans="1:6" x14ac:dyDescent="0.25">
      <c r="A7" s="3" t="s">
        <v>5</v>
      </c>
      <c r="B7" s="10">
        <v>36473</v>
      </c>
      <c r="C7" s="11">
        <f t="shared" si="0"/>
        <v>0.3169828702536871</v>
      </c>
      <c r="E7" s="12">
        <v>16.62</v>
      </c>
      <c r="F7" s="13">
        <f t="shared" si="1"/>
        <v>5.2682553036162796</v>
      </c>
    </row>
    <row r="8" spans="1:6" x14ac:dyDescent="0.25">
      <c r="A8" s="3" t="s">
        <v>6</v>
      </c>
      <c r="B8" s="10">
        <v>5636</v>
      </c>
      <c r="C8" s="11">
        <f t="shared" si="0"/>
        <v>4.8981862110322169E-2</v>
      </c>
      <c r="E8" s="12">
        <v>18.95</v>
      </c>
      <c r="F8" s="13">
        <f t="shared" si="1"/>
        <v>0.92820628699060503</v>
      </c>
    </row>
    <row r="9" spans="1:6" x14ac:dyDescent="0.25">
      <c r="A9" s="14" t="s">
        <v>7</v>
      </c>
      <c r="B9" s="15">
        <v>12608</v>
      </c>
      <c r="C9" s="16">
        <f t="shared" si="0"/>
        <v>0.10957475469959935</v>
      </c>
      <c r="D9" s="14"/>
      <c r="E9" s="12">
        <v>18.72</v>
      </c>
      <c r="F9" s="13">
        <f t="shared" si="1"/>
        <v>2.0512394079764995</v>
      </c>
    </row>
    <row r="10" spans="1:6" x14ac:dyDescent="0.25">
      <c r="A10" s="17" t="s">
        <v>0</v>
      </c>
      <c r="B10" s="10">
        <f>SUM(B3:B9)</f>
        <v>115063</v>
      </c>
      <c r="C10" s="11">
        <f t="shared" si="0"/>
        <v>1</v>
      </c>
      <c r="E10" s="18"/>
      <c r="F10" s="19">
        <f>SUM(F3:F9)</f>
        <v>16.199147249767517</v>
      </c>
    </row>
    <row r="13" spans="1:6" x14ac:dyDescent="0.25">
      <c r="A13" s="9" t="s">
        <v>943</v>
      </c>
    </row>
    <row r="14" spans="1:6" x14ac:dyDescent="0.25">
      <c r="A14" s="3" t="s">
        <v>8</v>
      </c>
      <c r="B14" s="10">
        <v>19684</v>
      </c>
      <c r="C14" s="11">
        <f>B14/B$21</f>
        <v>0.16245749562576342</v>
      </c>
      <c r="E14" s="12">
        <v>14.2</v>
      </c>
      <c r="F14" s="13">
        <f t="shared" ref="F14:F20" si="2">E14*C14</f>
        <v>2.3068964378858405</v>
      </c>
    </row>
    <row r="15" spans="1:6" x14ac:dyDescent="0.25">
      <c r="A15" s="3" t="s">
        <v>9</v>
      </c>
      <c r="B15" s="10">
        <v>28573</v>
      </c>
      <c r="C15" s="11">
        <f t="shared" ref="C15:C21" si="3">B15/B$21</f>
        <v>0.23582087088574163</v>
      </c>
      <c r="E15" s="12">
        <v>16.34</v>
      </c>
      <c r="F15" s="13">
        <f t="shared" si="2"/>
        <v>3.8533130302730183</v>
      </c>
    </row>
    <row r="16" spans="1:6" x14ac:dyDescent="0.25">
      <c r="A16" s="3" t="s">
        <v>10</v>
      </c>
      <c r="B16" s="10">
        <v>36024</v>
      </c>
      <c r="C16" s="11">
        <f t="shared" si="3"/>
        <v>0.29731603446568289</v>
      </c>
      <c r="E16" s="12">
        <v>23.3</v>
      </c>
      <c r="F16" s="13">
        <f t="shared" si="2"/>
        <v>6.9274636030504118</v>
      </c>
    </row>
    <row r="17" spans="1:6" x14ac:dyDescent="0.25">
      <c r="A17" s="3" t="s">
        <v>11</v>
      </c>
      <c r="B17" s="10">
        <v>7966</v>
      </c>
      <c r="C17" s="11">
        <f t="shared" si="3"/>
        <v>6.5745601003598428E-2</v>
      </c>
      <c r="E17" s="12">
        <v>16.100000000000001</v>
      </c>
      <c r="F17" s="13">
        <f t="shared" si="2"/>
        <v>1.0585041761579348</v>
      </c>
    </row>
    <row r="18" spans="1:6" x14ac:dyDescent="0.25">
      <c r="A18" s="3" t="s">
        <v>12</v>
      </c>
      <c r="B18" s="10">
        <v>6177</v>
      </c>
      <c r="C18" s="11">
        <f t="shared" si="3"/>
        <v>5.0980489254233929E-2</v>
      </c>
      <c r="E18" s="12">
        <v>17.739999999999998</v>
      </c>
      <c r="F18" s="13">
        <f t="shared" si="2"/>
        <v>0.90439387937010984</v>
      </c>
    </row>
    <row r="19" spans="1:6" x14ac:dyDescent="0.25">
      <c r="A19" s="3" t="s">
        <v>13</v>
      </c>
      <c r="B19" s="10">
        <v>14942</v>
      </c>
      <c r="C19" s="11">
        <f t="shared" si="3"/>
        <v>0.12332045822191411</v>
      </c>
      <c r="E19" s="12">
        <v>13.46</v>
      </c>
      <c r="F19" s="13">
        <f t="shared" si="2"/>
        <v>1.659893367666964</v>
      </c>
    </row>
    <row r="20" spans="1:6" x14ac:dyDescent="0.25">
      <c r="A20" s="3" t="s">
        <v>14</v>
      </c>
      <c r="B20" s="10">
        <v>7798</v>
      </c>
      <c r="C20" s="11">
        <f t="shared" si="3"/>
        <v>6.4359050543065593E-2</v>
      </c>
      <c r="E20" s="12">
        <v>13.97</v>
      </c>
      <c r="F20" s="13">
        <f t="shared" si="2"/>
        <v>0.89909593608662641</v>
      </c>
    </row>
    <row r="21" spans="1:6" x14ac:dyDescent="0.25">
      <c r="A21" s="20" t="s">
        <v>0</v>
      </c>
      <c r="B21" s="21">
        <f>SUM(B14:B20)</f>
        <v>121164</v>
      </c>
      <c r="C21" s="22">
        <f t="shared" si="3"/>
        <v>1</v>
      </c>
      <c r="D21" s="18"/>
      <c r="E21" s="18"/>
      <c r="F21" s="19">
        <f>SUM(F14:F20)</f>
        <v>17.609560430490909</v>
      </c>
    </row>
    <row r="24" spans="1:6" x14ac:dyDescent="0.25">
      <c r="A24" s="9" t="s">
        <v>944</v>
      </c>
    </row>
    <row r="25" spans="1:6" x14ac:dyDescent="0.25">
      <c r="A25" s="3" t="s">
        <v>15</v>
      </c>
      <c r="B25" s="10">
        <v>11799</v>
      </c>
      <c r="C25" s="11">
        <f t="shared" ref="C25:C38" si="4">B25/B$39</f>
        <v>4.0558796332899064E-2</v>
      </c>
      <c r="E25" s="12">
        <v>20.79</v>
      </c>
      <c r="F25" s="13">
        <f t="shared" ref="F25:F38" si="5">E25*C25</f>
        <v>0.84321737576097144</v>
      </c>
    </row>
    <row r="26" spans="1:6" x14ac:dyDescent="0.25">
      <c r="A26" s="3" t="s">
        <v>16</v>
      </c>
      <c r="B26" s="10">
        <v>23881</v>
      </c>
      <c r="C26" s="11">
        <f t="shared" si="4"/>
        <v>8.2090398781758001E-2</v>
      </c>
      <c r="E26" s="12">
        <v>18.66</v>
      </c>
      <c r="F26" s="13">
        <f t="shared" si="5"/>
        <v>1.5318068412676042</v>
      </c>
    </row>
    <row r="27" spans="1:6" x14ac:dyDescent="0.25">
      <c r="A27" s="3" t="s">
        <v>17</v>
      </c>
      <c r="B27" s="10">
        <v>13723</v>
      </c>
      <c r="C27" s="11">
        <f t="shared" si="4"/>
        <v>4.7172502930449521E-2</v>
      </c>
      <c r="E27" s="12">
        <v>14.95</v>
      </c>
      <c r="F27" s="13">
        <f t="shared" si="5"/>
        <v>0.70522891881022032</v>
      </c>
    </row>
    <row r="28" spans="1:6" x14ac:dyDescent="0.25">
      <c r="A28" s="3" t="s">
        <v>18</v>
      </c>
      <c r="B28" s="10">
        <v>29082</v>
      </c>
      <c r="C28" s="11">
        <f t="shared" si="4"/>
        <v>9.9968718955281852E-2</v>
      </c>
      <c r="E28" s="12">
        <v>17.21</v>
      </c>
      <c r="F28" s="13">
        <f t="shared" si="5"/>
        <v>1.7204616532204007</v>
      </c>
    </row>
    <row r="29" spans="1:6" x14ac:dyDescent="0.25">
      <c r="A29" s="3" t="s">
        <v>19</v>
      </c>
      <c r="B29" s="10">
        <v>94169</v>
      </c>
      <c r="C29" s="11">
        <f t="shared" si="4"/>
        <v>0.32370381319372593</v>
      </c>
      <c r="E29" s="12">
        <v>13.08</v>
      </c>
      <c r="F29" s="13">
        <f t="shared" si="5"/>
        <v>4.2340458765739353</v>
      </c>
    </row>
    <row r="30" spans="1:6" x14ac:dyDescent="0.25">
      <c r="A30" s="3" t="s">
        <v>20</v>
      </c>
      <c r="B30" s="10">
        <v>8533</v>
      </c>
      <c r="C30" s="11">
        <f t="shared" si="4"/>
        <v>2.9331995008782755E-2</v>
      </c>
      <c r="E30" s="12">
        <v>17.89</v>
      </c>
      <c r="F30" s="13">
        <f t="shared" si="5"/>
        <v>0.52474939070712356</v>
      </c>
    </row>
    <row r="31" spans="1:6" x14ac:dyDescent="0.25">
      <c r="A31" s="3" t="s">
        <v>21</v>
      </c>
      <c r="B31" s="10">
        <v>33489</v>
      </c>
      <c r="C31" s="11">
        <f t="shared" si="4"/>
        <v>0.11511768204021161</v>
      </c>
      <c r="E31" s="12">
        <v>15.69</v>
      </c>
      <c r="F31" s="13">
        <f t="shared" si="5"/>
        <v>1.8061964312109202</v>
      </c>
    </row>
    <row r="32" spans="1:6" x14ac:dyDescent="0.25">
      <c r="A32" s="3" t="s">
        <v>22</v>
      </c>
      <c r="B32" s="10">
        <v>10653</v>
      </c>
      <c r="C32" s="11">
        <f t="shared" si="4"/>
        <v>3.6619447184877849E-2</v>
      </c>
      <c r="E32" s="12">
        <v>17.37</v>
      </c>
      <c r="F32" s="13">
        <f t="shared" si="5"/>
        <v>0.63607979760132827</v>
      </c>
    </row>
    <row r="33" spans="1:7" x14ac:dyDescent="0.25">
      <c r="A33" s="3" t="s">
        <v>23</v>
      </c>
      <c r="B33" s="10">
        <v>9222</v>
      </c>
      <c r="C33" s="11">
        <f t="shared" si="4"/>
        <v>3.170041696601366E-2</v>
      </c>
      <c r="E33" s="12">
        <v>20.239999999999998</v>
      </c>
      <c r="F33" s="13">
        <f t="shared" si="5"/>
        <v>0.64161643939211643</v>
      </c>
    </row>
    <row r="34" spans="1:7" x14ac:dyDescent="0.25">
      <c r="A34" s="3" t="s">
        <v>24</v>
      </c>
      <c r="B34" s="10">
        <v>10338</v>
      </c>
      <c r="C34" s="11">
        <f t="shared" si="4"/>
        <v>3.5536641790788248E-2</v>
      </c>
      <c r="E34" s="12">
        <v>20.36</v>
      </c>
      <c r="F34" s="13">
        <f t="shared" si="5"/>
        <v>0.72352602686044876</v>
      </c>
    </row>
    <row r="35" spans="1:7" x14ac:dyDescent="0.25">
      <c r="A35" s="3" t="s">
        <v>25</v>
      </c>
      <c r="B35" s="10">
        <v>15061</v>
      </c>
      <c r="C35" s="11">
        <f t="shared" si="4"/>
        <v>5.1771847747249161E-2</v>
      </c>
      <c r="E35" s="12">
        <v>20.92</v>
      </c>
      <c r="F35" s="13">
        <f t="shared" si="5"/>
        <v>1.0830670548724526</v>
      </c>
    </row>
    <row r="36" spans="1:7" x14ac:dyDescent="0.25">
      <c r="A36" s="3" t="s">
        <v>26</v>
      </c>
      <c r="B36" s="10">
        <v>14835</v>
      </c>
      <c r="C36" s="11">
        <f t="shared" si="4"/>
        <v>5.0994977845457888E-2</v>
      </c>
      <c r="E36" s="12">
        <v>13.51</v>
      </c>
      <c r="F36" s="13">
        <f t="shared" si="5"/>
        <v>0.68894215069213605</v>
      </c>
    </row>
    <row r="37" spans="1:7" x14ac:dyDescent="0.25">
      <c r="A37" s="3" t="s">
        <v>27</v>
      </c>
      <c r="B37" s="10">
        <v>9290</v>
      </c>
      <c r="C37" s="11">
        <f t="shared" si="4"/>
        <v>3.1934165432039349E-2</v>
      </c>
      <c r="E37" s="12">
        <v>17.57</v>
      </c>
      <c r="F37" s="13">
        <f t="shared" si="5"/>
        <v>0.56108328664093132</v>
      </c>
    </row>
    <row r="38" spans="1:7" x14ac:dyDescent="0.25">
      <c r="A38" s="3" t="s">
        <v>28</v>
      </c>
      <c r="B38" s="10">
        <v>6836</v>
      </c>
      <c r="C38" s="11">
        <f t="shared" si="4"/>
        <v>2.3498595790465125E-2</v>
      </c>
      <c r="E38" s="12">
        <v>17.329999999999998</v>
      </c>
      <c r="F38" s="13">
        <f t="shared" si="5"/>
        <v>0.40723066504876054</v>
      </c>
    </row>
    <row r="39" spans="1:7" x14ac:dyDescent="0.25">
      <c r="A39" s="20" t="s">
        <v>0</v>
      </c>
      <c r="B39" s="21">
        <f>SUM(B25:B38)</f>
        <v>290911</v>
      </c>
      <c r="C39" s="22">
        <f>B39/B$39</f>
        <v>1</v>
      </c>
      <c r="D39" s="18"/>
      <c r="E39" s="18"/>
      <c r="F39" s="19">
        <f>SUM(F25:F38)</f>
        <v>16.10725190865935</v>
      </c>
    </row>
    <row r="42" spans="1:7" x14ac:dyDescent="0.25">
      <c r="A42" s="9" t="s">
        <v>945</v>
      </c>
    </row>
    <row r="43" spans="1:7" x14ac:dyDescent="0.25">
      <c r="A43" s="3" t="s">
        <v>29</v>
      </c>
      <c r="B43" s="10">
        <v>13368</v>
      </c>
      <c r="C43" s="23">
        <f t="shared" ref="C43:C106" si="6">B43/B$113</f>
        <v>8.0794063981307618E-3</v>
      </c>
      <c r="E43" s="12">
        <v>21.15</v>
      </c>
      <c r="F43" s="13">
        <f t="shared" ref="F43:F106" si="7">E43*C43</f>
        <v>0.17087944532046559</v>
      </c>
      <c r="G43" s="24"/>
    </row>
    <row r="44" spans="1:7" x14ac:dyDescent="0.25">
      <c r="A44" s="3" t="s">
        <v>30</v>
      </c>
      <c r="B44" s="10">
        <v>12014</v>
      </c>
      <c r="C44" s="23">
        <f t="shared" si="6"/>
        <v>7.2610703521202094E-3</v>
      </c>
      <c r="E44" s="12">
        <v>24.99</v>
      </c>
      <c r="F44" s="13">
        <f t="shared" si="7"/>
        <v>0.18145414809948401</v>
      </c>
    </row>
    <row r="45" spans="1:7" x14ac:dyDescent="0.25">
      <c r="A45" s="3" t="s">
        <v>31</v>
      </c>
      <c r="B45" s="10">
        <v>19946</v>
      </c>
      <c r="C45" s="23">
        <f t="shared" si="6"/>
        <v>1.2055044884583794E-2</v>
      </c>
      <c r="E45" s="12">
        <v>24.35</v>
      </c>
      <c r="F45" s="13">
        <f t="shared" si="7"/>
        <v>0.2935403429396154</v>
      </c>
    </row>
    <row r="46" spans="1:7" x14ac:dyDescent="0.25">
      <c r="A46" s="3" t="s">
        <v>32</v>
      </c>
      <c r="B46" s="10">
        <v>13416</v>
      </c>
      <c r="C46" s="23">
        <f t="shared" si="6"/>
        <v>8.108416834030692E-3</v>
      </c>
      <c r="E46" s="12">
        <v>24.7</v>
      </c>
      <c r="F46" s="13">
        <f t="shared" si="7"/>
        <v>0.20027789580055808</v>
      </c>
    </row>
    <row r="47" spans="1:7" x14ac:dyDescent="0.25">
      <c r="A47" s="3" t="s">
        <v>601</v>
      </c>
      <c r="B47" s="10">
        <v>17464</v>
      </c>
      <c r="C47" s="23">
        <f t="shared" si="6"/>
        <v>1.0554963594924867E-2</v>
      </c>
      <c r="E47" s="12">
        <v>23.7</v>
      </c>
      <c r="F47" s="13">
        <f t="shared" si="7"/>
        <v>0.25015263719971936</v>
      </c>
    </row>
    <row r="48" spans="1:7" x14ac:dyDescent="0.25">
      <c r="A48" s="3" t="s">
        <v>35</v>
      </c>
      <c r="B48" s="10">
        <v>19265</v>
      </c>
      <c r="C48" s="23">
        <f t="shared" si="6"/>
        <v>1.1643459325253524E-2</v>
      </c>
      <c r="E48" s="12">
        <v>22.34</v>
      </c>
      <c r="F48" s="13">
        <f t="shared" si="7"/>
        <v>0.26011488132616373</v>
      </c>
    </row>
    <row r="49" spans="1:6" x14ac:dyDescent="0.25">
      <c r="A49" s="3" t="s">
        <v>36</v>
      </c>
      <c r="B49" s="10">
        <v>25179</v>
      </c>
      <c r="C49" s="23">
        <f t="shared" si="6"/>
        <v>1.5217786781757513E-2</v>
      </c>
      <c r="E49" s="12">
        <v>26.75</v>
      </c>
      <c r="F49" s="13">
        <f t="shared" si="7"/>
        <v>0.40707579641201347</v>
      </c>
    </row>
    <row r="50" spans="1:6" x14ac:dyDescent="0.25">
      <c r="A50" s="3" t="s">
        <v>37</v>
      </c>
      <c r="B50" s="10">
        <v>13531</v>
      </c>
      <c r="C50" s="23">
        <f t="shared" si="6"/>
        <v>8.177921003374276E-3</v>
      </c>
      <c r="E50" s="12">
        <v>26.5</v>
      </c>
      <c r="F50" s="13">
        <f t="shared" si="7"/>
        <v>0.2167149065894183</v>
      </c>
    </row>
    <row r="51" spans="1:6" x14ac:dyDescent="0.25">
      <c r="A51" s="3" t="s">
        <v>38</v>
      </c>
      <c r="B51" s="10">
        <v>10810</v>
      </c>
      <c r="C51" s="23">
        <f t="shared" si="6"/>
        <v>6.5333919182969423E-3</v>
      </c>
      <c r="E51" s="12">
        <v>23</v>
      </c>
      <c r="F51" s="13">
        <f t="shared" si="7"/>
        <v>0.15026801412082968</v>
      </c>
    </row>
    <row r="52" spans="1:6" x14ac:dyDescent="0.25">
      <c r="A52" s="3" t="s">
        <v>39</v>
      </c>
      <c r="B52" s="10">
        <v>12114</v>
      </c>
      <c r="C52" s="23">
        <f t="shared" si="6"/>
        <v>7.3215087602450657E-3</v>
      </c>
      <c r="E52" s="12">
        <v>25.16</v>
      </c>
      <c r="F52" s="13">
        <f t="shared" si="7"/>
        <v>0.18420916040776586</v>
      </c>
    </row>
    <row r="53" spans="1:6" x14ac:dyDescent="0.25">
      <c r="A53" s="3" t="s">
        <v>40</v>
      </c>
      <c r="B53" s="10">
        <v>29925</v>
      </c>
      <c r="C53" s="23">
        <f t="shared" si="6"/>
        <v>1.8086193631363181E-2</v>
      </c>
      <c r="E53" s="12">
        <v>25.48</v>
      </c>
      <c r="F53" s="13">
        <f t="shared" si="7"/>
        <v>0.46083621372713385</v>
      </c>
    </row>
    <row r="54" spans="1:6" x14ac:dyDescent="0.25">
      <c r="A54" s="3" t="s">
        <v>41</v>
      </c>
      <c r="B54" s="10">
        <v>21712</v>
      </c>
      <c r="C54" s="23">
        <f t="shared" si="6"/>
        <v>1.3122387172068753E-2</v>
      </c>
      <c r="E54" s="12">
        <v>23.5</v>
      </c>
      <c r="F54" s="13">
        <f t="shared" si="7"/>
        <v>0.3083760985436157</v>
      </c>
    </row>
    <row r="55" spans="1:6" x14ac:dyDescent="0.25">
      <c r="A55" s="3" t="s">
        <v>42</v>
      </c>
      <c r="B55" s="10">
        <v>18818</v>
      </c>
      <c r="C55" s="23">
        <f t="shared" si="6"/>
        <v>1.1373299640935417E-2</v>
      </c>
      <c r="E55" s="12">
        <v>20.420000000000002</v>
      </c>
      <c r="F55" s="13">
        <f t="shared" si="7"/>
        <v>0.23224277866790125</v>
      </c>
    </row>
    <row r="56" spans="1:6" x14ac:dyDescent="0.25">
      <c r="A56" s="3" t="s">
        <v>43</v>
      </c>
      <c r="B56" s="10">
        <v>14057</v>
      </c>
      <c r="C56" s="23">
        <f t="shared" si="6"/>
        <v>8.4958270301110188E-3</v>
      </c>
      <c r="E56" s="12">
        <v>20.53</v>
      </c>
      <c r="F56" s="13">
        <f t="shared" si="7"/>
        <v>0.17441932892817921</v>
      </c>
    </row>
    <row r="57" spans="1:6" x14ac:dyDescent="0.25">
      <c r="A57" s="3" t="s">
        <v>44</v>
      </c>
      <c r="B57" s="10">
        <v>20387</v>
      </c>
      <c r="C57" s="23">
        <f t="shared" si="6"/>
        <v>1.2321578264414408E-2</v>
      </c>
      <c r="E57" s="12">
        <v>21.24</v>
      </c>
      <c r="F57" s="13">
        <f t="shared" si="7"/>
        <v>0.26171032233616204</v>
      </c>
    </row>
    <row r="58" spans="1:6" x14ac:dyDescent="0.25">
      <c r="A58" s="3" t="s">
        <v>45</v>
      </c>
      <c r="B58" s="10">
        <v>11825</v>
      </c>
      <c r="C58" s="23">
        <f t="shared" si="6"/>
        <v>7.1468417607642313E-3</v>
      </c>
      <c r="E58" s="12">
        <v>21.41</v>
      </c>
      <c r="F58" s="13">
        <f t="shared" si="7"/>
        <v>0.15301388209796218</v>
      </c>
    </row>
    <row r="59" spans="1:6" x14ac:dyDescent="0.25">
      <c r="A59" s="3" t="s">
        <v>46</v>
      </c>
      <c r="B59" s="10">
        <v>15676</v>
      </c>
      <c r="C59" s="23">
        <f t="shared" si="6"/>
        <v>9.4743248576524396E-3</v>
      </c>
      <c r="E59" s="12">
        <v>22.83</v>
      </c>
      <c r="F59" s="13">
        <f t="shared" si="7"/>
        <v>0.21629883650020518</v>
      </c>
    </row>
    <row r="60" spans="1:6" x14ac:dyDescent="0.25">
      <c r="A60" s="3" t="s">
        <v>47</v>
      </c>
      <c r="B60" s="10">
        <v>12257</v>
      </c>
      <c r="C60" s="23">
        <f t="shared" si="6"/>
        <v>7.4079356838636099E-3</v>
      </c>
      <c r="E60" s="12">
        <v>25.94</v>
      </c>
      <c r="F60" s="13">
        <f t="shared" si="7"/>
        <v>0.19216185163942204</v>
      </c>
    </row>
    <row r="61" spans="1:6" x14ac:dyDescent="0.25">
      <c r="A61" s="3" t="s">
        <v>48</v>
      </c>
      <c r="B61" s="10">
        <v>10037</v>
      </c>
      <c r="C61" s="23">
        <f t="shared" si="6"/>
        <v>6.0662030234918049E-3</v>
      </c>
      <c r="E61" s="12">
        <v>21.89</v>
      </c>
      <c r="F61" s="13">
        <f t="shared" si="7"/>
        <v>0.1327891841842356</v>
      </c>
    </row>
    <row r="62" spans="1:6" x14ac:dyDescent="0.25">
      <c r="A62" s="3" t="s">
        <v>49</v>
      </c>
      <c r="B62" s="10">
        <v>31489</v>
      </c>
      <c r="C62" s="23">
        <f t="shared" si="6"/>
        <v>1.9031450334435932E-2</v>
      </c>
      <c r="E62" s="12">
        <v>23.48</v>
      </c>
      <c r="F62" s="13">
        <f t="shared" si="7"/>
        <v>0.44685845385255568</v>
      </c>
    </row>
    <row r="63" spans="1:6" x14ac:dyDescent="0.25">
      <c r="A63" s="3" t="s">
        <v>50</v>
      </c>
      <c r="B63" s="10">
        <v>21099</v>
      </c>
      <c r="C63" s="23">
        <f t="shared" si="6"/>
        <v>1.2751899730263385E-2</v>
      </c>
      <c r="E63" s="12">
        <v>19.96</v>
      </c>
      <c r="F63" s="13">
        <f t="shared" si="7"/>
        <v>0.25452791861605717</v>
      </c>
    </row>
    <row r="64" spans="1:6" x14ac:dyDescent="0.25">
      <c r="A64" s="3" t="s">
        <v>51</v>
      </c>
      <c r="B64" s="10">
        <v>18350</v>
      </c>
      <c r="C64" s="23">
        <f t="shared" si="6"/>
        <v>1.1090447890911091E-2</v>
      </c>
      <c r="E64" s="12">
        <v>18.37</v>
      </c>
      <c r="F64" s="13">
        <f t="shared" si="7"/>
        <v>0.20373152775603676</v>
      </c>
    </row>
    <row r="65" spans="1:6" x14ac:dyDescent="0.25">
      <c r="A65" s="3" t="s">
        <v>52</v>
      </c>
      <c r="B65" s="10">
        <v>13918</v>
      </c>
      <c r="C65" s="23">
        <f t="shared" si="6"/>
        <v>8.4118176428174696E-3</v>
      </c>
      <c r="E65" s="12">
        <v>20.77</v>
      </c>
      <c r="F65" s="13">
        <f t="shared" si="7"/>
        <v>0.17471345244131883</v>
      </c>
    </row>
    <row r="66" spans="1:6" x14ac:dyDescent="0.25">
      <c r="A66" s="3" t="s">
        <v>53</v>
      </c>
      <c r="B66" s="10">
        <v>10811</v>
      </c>
      <c r="C66" s="23">
        <f t="shared" si="6"/>
        <v>6.5339963023781913E-3</v>
      </c>
      <c r="E66" s="12">
        <v>19.899999999999999</v>
      </c>
      <c r="F66" s="13">
        <f t="shared" si="7"/>
        <v>0.13002652641732601</v>
      </c>
    </row>
    <row r="67" spans="1:6" x14ac:dyDescent="0.25">
      <c r="A67" s="3" t="s">
        <v>54</v>
      </c>
      <c r="B67" s="10">
        <v>17414</v>
      </c>
      <c r="C67" s="23">
        <f t="shared" si="6"/>
        <v>1.0524744390862439E-2</v>
      </c>
      <c r="E67" s="12">
        <v>19.07</v>
      </c>
      <c r="F67" s="13">
        <f t="shared" si="7"/>
        <v>0.20070687553374672</v>
      </c>
    </row>
    <row r="68" spans="1:6" x14ac:dyDescent="0.25">
      <c r="A68" s="3" t="s">
        <v>55</v>
      </c>
      <c r="B68" s="10">
        <v>16528</v>
      </c>
      <c r="C68" s="23">
        <f t="shared" si="6"/>
        <v>9.9892600948762126E-3</v>
      </c>
      <c r="E68" s="12">
        <v>21.63</v>
      </c>
      <c r="F68" s="13">
        <f t="shared" si="7"/>
        <v>0.21606769585217248</v>
      </c>
    </row>
    <row r="69" spans="1:6" x14ac:dyDescent="0.25">
      <c r="A69" s="3" t="s">
        <v>56</v>
      </c>
      <c r="B69" s="10">
        <v>17103</v>
      </c>
      <c r="C69" s="23">
        <f t="shared" si="6"/>
        <v>1.0336780941594136E-2</v>
      </c>
      <c r="E69" s="12">
        <v>21.35</v>
      </c>
      <c r="F69" s="13">
        <f t="shared" si="7"/>
        <v>0.22069027310303482</v>
      </c>
    </row>
    <row r="70" spans="1:6" x14ac:dyDescent="0.25">
      <c r="A70" s="3" t="s">
        <v>57</v>
      </c>
      <c r="B70" s="10">
        <v>15570</v>
      </c>
      <c r="C70" s="23">
        <f t="shared" si="6"/>
        <v>9.4102601450400912E-3</v>
      </c>
      <c r="E70" s="12">
        <v>20.8</v>
      </c>
      <c r="F70" s="13">
        <f t="shared" si="7"/>
        <v>0.19573341101683389</v>
      </c>
    </row>
    <row r="71" spans="1:6" x14ac:dyDescent="0.25">
      <c r="A71" s="3" t="s">
        <v>58</v>
      </c>
      <c r="B71" s="10">
        <v>10670</v>
      </c>
      <c r="C71" s="23">
        <f t="shared" si="6"/>
        <v>6.4487781469221442E-3</v>
      </c>
      <c r="E71" s="12">
        <v>23.18</v>
      </c>
      <c r="F71" s="13">
        <f t="shared" si="7"/>
        <v>0.1494826774456553</v>
      </c>
    </row>
    <row r="72" spans="1:6" x14ac:dyDescent="0.25">
      <c r="A72" s="3" t="s">
        <v>59</v>
      </c>
      <c r="B72" s="10">
        <v>20042</v>
      </c>
      <c r="C72" s="23">
        <f t="shared" si="6"/>
        <v>1.2113065756383656E-2</v>
      </c>
      <c r="E72" s="12">
        <v>23.76</v>
      </c>
      <c r="F72" s="13">
        <f t="shared" si="7"/>
        <v>0.28780644237167569</v>
      </c>
    </row>
    <row r="73" spans="1:6" x14ac:dyDescent="0.25">
      <c r="A73" s="3" t="s">
        <v>60</v>
      </c>
      <c r="B73" s="10">
        <v>17539</v>
      </c>
      <c r="C73" s="23">
        <f t="shared" si="6"/>
        <v>1.0600292401018507E-2</v>
      </c>
      <c r="E73" s="12">
        <v>22.75</v>
      </c>
      <c r="F73" s="13">
        <f t="shared" si="7"/>
        <v>0.24115665212317106</v>
      </c>
    </row>
    <row r="74" spans="1:6" x14ac:dyDescent="0.25">
      <c r="A74" s="3" t="s">
        <v>61</v>
      </c>
      <c r="B74" s="10">
        <v>14793</v>
      </c>
      <c r="C74" s="23">
        <f t="shared" si="6"/>
        <v>8.9406537139099605E-3</v>
      </c>
      <c r="E74" s="12">
        <v>23.06</v>
      </c>
      <c r="F74" s="13">
        <f t="shared" si="7"/>
        <v>0.20617147464276367</v>
      </c>
    </row>
    <row r="75" spans="1:6" x14ac:dyDescent="0.25">
      <c r="A75" s="3" t="s">
        <v>62</v>
      </c>
      <c r="B75" s="10">
        <v>18967</v>
      </c>
      <c r="C75" s="23">
        <f t="shared" si="6"/>
        <v>1.1463352869041453E-2</v>
      </c>
      <c r="E75" s="12">
        <v>21.52</v>
      </c>
      <c r="F75" s="13">
        <f t="shared" si="7"/>
        <v>0.24669135374177206</v>
      </c>
    </row>
    <row r="76" spans="1:6" x14ac:dyDescent="0.25">
      <c r="A76" s="3" t="s">
        <v>63</v>
      </c>
      <c r="B76" s="10">
        <v>26205</v>
      </c>
      <c r="C76" s="23">
        <f t="shared" si="6"/>
        <v>1.5837884849118536E-2</v>
      </c>
      <c r="E76" s="12">
        <v>21.39</v>
      </c>
      <c r="F76" s="13">
        <f t="shared" si="7"/>
        <v>0.33877235692264551</v>
      </c>
    </row>
    <row r="77" spans="1:6" x14ac:dyDescent="0.25">
      <c r="A77" s="3" t="s">
        <v>64</v>
      </c>
      <c r="B77" s="10">
        <v>18030</v>
      </c>
      <c r="C77" s="23">
        <f t="shared" si="6"/>
        <v>1.0897044984911551E-2</v>
      </c>
      <c r="E77" s="12">
        <v>24.48</v>
      </c>
      <c r="F77" s="13">
        <f t="shared" si="7"/>
        <v>0.26675966123063477</v>
      </c>
    </row>
    <row r="78" spans="1:6" x14ac:dyDescent="0.25">
      <c r="A78" s="3" t="s">
        <v>65</v>
      </c>
      <c r="B78" s="10">
        <v>29368</v>
      </c>
      <c r="C78" s="23">
        <f t="shared" si="6"/>
        <v>1.7749551698107734E-2</v>
      </c>
      <c r="E78" s="12">
        <v>22.77</v>
      </c>
      <c r="F78" s="13">
        <f t="shared" si="7"/>
        <v>0.40415729216591306</v>
      </c>
    </row>
    <row r="79" spans="1:6" x14ac:dyDescent="0.25">
      <c r="A79" s="3" t="s">
        <v>66</v>
      </c>
      <c r="B79" s="10">
        <v>24064</v>
      </c>
      <c r="C79" s="23">
        <f t="shared" si="6"/>
        <v>1.4543898531165368E-2</v>
      </c>
      <c r="E79" s="12">
        <v>24.18</v>
      </c>
      <c r="F79" s="13">
        <f t="shared" si="7"/>
        <v>0.35167146648357861</v>
      </c>
    </row>
    <row r="80" spans="1:6" x14ac:dyDescent="0.25">
      <c r="A80" s="3" t="s">
        <v>67</v>
      </c>
      <c r="B80" s="10">
        <v>17120</v>
      </c>
      <c r="C80" s="23">
        <f t="shared" si="6"/>
        <v>1.034705547097536E-2</v>
      </c>
      <c r="E80" s="12">
        <v>22.79</v>
      </c>
      <c r="F80" s="13">
        <f t="shared" si="7"/>
        <v>0.23580939418352845</v>
      </c>
    </row>
    <row r="81" spans="1:6" x14ac:dyDescent="0.25">
      <c r="A81" s="3" t="s">
        <v>68</v>
      </c>
      <c r="B81" s="10">
        <v>24934</v>
      </c>
      <c r="C81" s="23">
        <f t="shared" si="6"/>
        <v>1.5069712681851616E-2</v>
      </c>
      <c r="E81" s="12">
        <v>23.64</v>
      </c>
      <c r="F81" s="13">
        <f t="shared" si="7"/>
        <v>0.3562480077989722</v>
      </c>
    </row>
    <row r="82" spans="1:6" x14ac:dyDescent="0.25">
      <c r="A82" s="3" t="s">
        <v>69</v>
      </c>
      <c r="B82" s="10">
        <v>20490</v>
      </c>
      <c r="C82" s="23">
        <f t="shared" si="6"/>
        <v>1.2383829824783012E-2</v>
      </c>
      <c r="E82" s="12">
        <v>21.97</v>
      </c>
      <c r="F82" s="13">
        <f t="shared" si="7"/>
        <v>0.27207274125048275</v>
      </c>
    </row>
    <row r="83" spans="1:6" x14ac:dyDescent="0.25">
      <c r="A83" s="3" t="s">
        <v>70</v>
      </c>
      <c r="B83" s="10">
        <v>15378</v>
      </c>
      <c r="C83" s="23">
        <f t="shared" si="6"/>
        <v>9.2942184014403687E-3</v>
      </c>
      <c r="E83" s="12">
        <v>18.84</v>
      </c>
      <c r="F83" s="13">
        <f t="shared" si="7"/>
        <v>0.17510307468313654</v>
      </c>
    </row>
    <row r="84" spans="1:6" x14ac:dyDescent="0.25">
      <c r="A84" s="3" t="s">
        <v>71</v>
      </c>
      <c r="B84" s="10">
        <v>13807</v>
      </c>
      <c r="C84" s="23">
        <f t="shared" si="6"/>
        <v>8.3447310097988798E-3</v>
      </c>
      <c r="E84" s="12">
        <v>21.01</v>
      </c>
      <c r="F84" s="13">
        <f t="shared" si="7"/>
        <v>0.17532279851587448</v>
      </c>
    </row>
    <row r="85" spans="1:6" x14ac:dyDescent="0.25">
      <c r="A85" s="3" t="s">
        <v>72</v>
      </c>
      <c r="B85" s="10">
        <v>8124</v>
      </c>
      <c r="C85" s="23">
        <f t="shared" si="6"/>
        <v>4.9100162760633082E-3</v>
      </c>
      <c r="E85" s="12">
        <v>22.36</v>
      </c>
      <c r="F85" s="13">
        <f t="shared" si="7"/>
        <v>0.10978796393277557</v>
      </c>
    </row>
    <row r="86" spans="1:6" x14ac:dyDescent="0.25">
      <c r="A86" s="3" t="s">
        <v>73</v>
      </c>
      <c r="B86" s="10">
        <v>12778</v>
      </c>
      <c r="C86" s="23">
        <f t="shared" si="6"/>
        <v>7.7228197901941104E-3</v>
      </c>
      <c r="E86" s="12">
        <v>18.510000000000002</v>
      </c>
      <c r="F86" s="13">
        <f t="shared" si="7"/>
        <v>0.14294939431649301</v>
      </c>
    </row>
    <row r="87" spans="1:6" x14ac:dyDescent="0.25">
      <c r="A87" s="3" t="s">
        <v>74</v>
      </c>
      <c r="B87" s="10">
        <v>14256</v>
      </c>
      <c r="C87" s="23">
        <f t="shared" si="6"/>
        <v>8.6160994622794824E-3</v>
      </c>
      <c r="E87" s="12">
        <v>25.68</v>
      </c>
      <c r="F87" s="13">
        <f t="shared" si="7"/>
        <v>0.22126143419133709</v>
      </c>
    </row>
    <row r="88" spans="1:6" x14ac:dyDescent="0.25">
      <c r="A88" s="3" t="s">
        <v>75</v>
      </c>
      <c r="B88" s="10">
        <v>8754</v>
      </c>
      <c r="C88" s="23">
        <f t="shared" si="6"/>
        <v>5.2907782472499014E-3</v>
      </c>
      <c r="E88" s="12">
        <v>23.32</v>
      </c>
      <c r="F88" s="13">
        <f t="shared" si="7"/>
        <v>0.1233809487258677</v>
      </c>
    </row>
    <row r="89" spans="1:6" x14ac:dyDescent="0.25">
      <c r="A89" s="3" t="s">
        <v>76</v>
      </c>
      <c r="B89" s="10">
        <v>11967</v>
      </c>
      <c r="C89" s="23">
        <f t="shared" si="6"/>
        <v>7.2326643003015273E-3</v>
      </c>
      <c r="E89" s="12">
        <v>20.309999999999999</v>
      </c>
      <c r="F89" s="13">
        <f t="shared" si="7"/>
        <v>0.146895411939124</v>
      </c>
    </row>
    <row r="90" spans="1:6" x14ac:dyDescent="0.25">
      <c r="A90" s="3" t="s">
        <v>77</v>
      </c>
      <c r="B90" s="10">
        <v>14065</v>
      </c>
      <c r="C90" s="23">
        <f t="shared" si="6"/>
        <v>8.5006621027610071E-3</v>
      </c>
      <c r="E90" s="12">
        <v>19.21</v>
      </c>
      <c r="F90" s="13">
        <f t="shared" si="7"/>
        <v>0.16329771899403894</v>
      </c>
    </row>
    <row r="91" spans="1:6" x14ac:dyDescent="0.25">
      <c r="A91" s="3" t="s">
        <v>78</v>
      </c>
      <c r="B91" s="10">
        <v>12039</v>
      </c>
      <c r="C91" s="23">
        <f t="shared" si="6"/>
        <v>7.2761799541514235E-3</v>
      </c>
      <c r="E91" s="12">
        <v>20.69</v>
      </c>
      <c r="F91" s="13">
        <f t="shared" si="7"/>
        <v>0.15054416325139297</v>
      </c>
    </row>
    <row r="92" spans="1:6" x14ac:dyDescent="0.25">
      <c r="A92" s="3" t="s">
        <v>79</v>
      </c>
      <c r="B92" s="10">
        <v>16445</v>
      </c>
      <c r="C92" s="23">
        <f t="shared" si="6"/>
        <v>9.939096216132582E-3</v>
      </c>
      <c r="E92" s="12">
        <v>19.850000000000001</v>
      </c>
      <c r="F92" s="13">
        <f t="shared" si="7"/>
        <v>0.19729105989023177</v>
      </c>
    </row>
    <row r="93" spans="1:6" x14ac:dyDescent="0.25">
      <c r="A93" s="3" t="s">
        <v>80</v>
      </c>
      <c r="B93" s="10">
        <v>17373</v>
      </c>
      <c r="C93" s="23">
        <f t="shared" si="6"/>
        <v>1.0499964643531246E-2</v>
      </c>
      <c r="E93" s="12">
        <v>20.38</v>
      </c>
      <c r="F93" s="13">
        <f t="shared" si="7"/>
        <v>0.2139892794351668</v>
      </c>
    </row>
    <row r="94" spans="1:6" x14ac:dyDescent="0.25">
      <c r="A94" s="3" t="s">
        <v>81</v>
      </c>
      <c r="B94" s="10">
        <v>10062</v>
      </c>
      <c r="C94" s="23">
        <f t="shared" si="6"/>
        <v>6.081312625523019E-3</v>
      </c>
      <c r="E94" s="12">
        <v>19.32</v>
      </c>
      <c r="F94" s="13">
        <f t="shared" si="7"/>
        <v>0.11749095992510473</v>
      </c>
    </row>
    <row r="95" spans="1:6" x14ac:dyDescent="0.25">
      <c r="A95" s="3" t="s">
        <v>82</v>
      </c>
      <c r="B95" s="10">
        <v>10583</v>
      </c>
      <c r="C95" s="23">
        <f t="shared" si="6"/>
        <v>6.3961967318535195E-3</v>
      </c>
      <c r="E95" s="12">
        <v>21.82</v>
      </c>
      <c r="F95" s="13">
        <f t="shared" si="7"/>
        <v>0.13956501268904378</v>
      </c>
    </row>
    <row r="96" spans="1:6" x14ac:dyDescent="0.25">
      <c r="A96" s="3" t="s">
        <v>83</v>
      </c>
      <c r="B96" s="10">
        <v>11669</v>
      </c>
      <c r="C96" s="23">
        <f t="shared" si="6"/>
        <v>7.0525578440894564E-3</v>
      </c>
      <c r="E96" s="12">
        <v>17.3</v>
      </c>
      <c r="F96" s="13">
        <f t="shared" si="7"/>
        <v>0.1220092507027476</v>
      </c>
    </row>
    <row r="97" spans="1:6" x14ac:dyDescent="0.25">
      <c r="A97" s="3" t="s">
        <v>84</v>
      </c>
      <c r="B97" s="10">
        <v>13139</v>
      </c>
      <c r="C97" s="23">
        <f t="shared" si="6"/>
        <v>7.9410024435248409E-3</v>
      </c>
      <c r="E97" s="12">
        <v>16.010000000000002</v>
      </c>
      <c r="F97" s="13">
        <f t="shared" si="7"/>
        <v>0.12713544912083272</v>
      </c>
    </row>
    <row r="98" spans="1:6" x14ac:dyDescent="0.25">
      <c r="A98" s="3" t="s">
        <v>85</v>
      </c>
      <c r="B98" s="10">
        <v>20615</v>
      </c>
      <c r="C98" s="23">
        <f t="shared" si="6"/>
        <v>1.245937783493908E-2</v>
      </c>
      <c r="E98" s="12">
        <v>18.690000000000001</v>
      </c>
      <c r="F98" s="13">
        <f t="shared" si="7"/>
        <v>0.23286577173501144</v>
      </c>
    </row>
    <row r="99" spans="1:6" x14ac:dyDescent="0.25">
      <c r="A99" s="3" t="s">
        <v>86</v>
      </c>
      <c r="B99" s="10">
        <v>13705</v>
      </c>
      <c r="C99" s="23">
        <f t="shared" si="6"/>
        <v>8.2830838335115255E-3</v>
      </c>
      <c r="E99" s="12">
        <v>18.66</v>
      </c>
      <c r="F99" s="13">
        <f t="shared" si="7"/>
        <v>0.15456234433332508</v>
      </c>
    </row>
    <row r="100" spans="1:6" x14ac:dyDescent="0.25">
      <c r="A100" s="3" t="s">
        <v>87</v>
      </c>
      <c r="B100" s="10">
        <v>12894</v>
      </c>
      <c r="C100" s="23">
        <f t="shared" si="6"/>
        <v>7.7929283436189434E-3</v>
      </c>
      <c r="E100" s="12">
        <v>19.690000000000001</v>
      </c>
      <c r="F100" s="13">
        <f t="shared" si="7"/>
        <v>0.153442759085857</v>
      </c>
    </row>
    <row r="101" spans="1:6" x14ac:dyDescent="0.25">
      <c r="A101" s="3" t="s">
        <v>88</v>
      </c>
      <c r="B101" s="10">
        <v>17182</v>
      </c>
      <c r="C101" s="23">
        <f t="shared" si="6"/>
        <v>1.0384527284012773E-2</v>
      </c>
      <c r="E101" s="12">
        <v>18.739999999999998</v>
      </c>
      <c r="F101" s="13">
        <f t="shared" si="7"/>
        <v>0.19460604130239934</v>
      </c>
    </row>
    <row r="102" spans="1:6" x14ac:dyDescent="0.25">
      <c r="A102" s="3" t="s">
        <v>89</v>
      </c>
      <c r="B102" s="10">
        <v>21701</v>
      </c>
      <c r="C102" s="23">
        <f t="shared" si="6"/>
        <v>1.3115738947175017E-2</v>
      </c>
      <c r="E102" s="12">
        <v>19.3</v>
      </c>
      <c r="F102" s="13">
        <f t="shared" si="7"/>
        <v>0.25313376168047785</v>
      </c>
    </row>
    <row r="103" spans="1:6" x14ac:dyDescent="0.25">
      <c r="A103" s="3" t="s">
        <v>90</v>
      </c>
      <c r="B103" s="10">
        <v>24371</v>
      </c>
      <c r="C103" s="23">
        <f t="shared" si="6"/>
        <v>1.4729444444108675E-2</v>
      </c>
      <c r="E103" s="12">
        <v>16.29</v>
      </c>
      <c r="F103" s="13">
        <f t="shared" si="7"/>
        <v>0.2399426499945303</v>
      </c>
    </row>
    <row r="104" spans="1:6" x14ac:dyDescent="0.25">
      <c r="A104" s="3" t="s">
        <v>91</v>
      </c>
      <c r="B104" s="10">
        <v>49051</v>
      </c>
      <c r="C104" s="23">
        <f t="shared" si="6"/>
        <v>2.9645643569323157E-2</v>
      </c>
      <c r="E104" s="12">
        <v>15.92</v>
      </c>
      <c r="F104" s="13">
        <f t="shared" si="7"/>
        <v>0.47195864562362466</v>
      </c>
    </row>
    <row r="105" spans="1:6" x14ac:dyDescent="0.25">
      <c r="A105" s="3" t="s">
        <v>92</v>
      </c>
      <c r="B105" s="10">
        <v>101228</v>
      </c>
      <c r="C105" s="23">
        <f t="shared" si="6"/>
        <v>6.1180591776629316E-2</v>
      </c>
      <c r="E105" s="12">
        <v>19.37</v>
      </c>
      <c r="F105" s="13">
        <f t="shared" si="7"/>
        <v>1.1850680627133099</v>
      </c>
    </row>
    <row r="106" spans="1:6" x14ac:dyDescent="0.25">
      <c r="A106" s="3" t="s">
        <v>93</v>
      </c>
      <c r="B106" s="10">
        <v>47610</v>
      </c>
      <c r="C106" s="23">
        <f t="shared" si="6"/>
        <v>2.877472610824398E-2</v>
      </c>
      <c r="E106" s="12">
        <v>19.55</v>
      </c>
      <c r="F106" s="13">
        <f t="shared" si="7"/>
        <v>0.56254589541616984</v>
      </c>
    </row>
    <row r="107" spans="1:6" x14ac:dyDescent="0.25">
      <c r="A107" s="3" t="s">
        <v>94</v>
      </c>
      <c r="B107" s="10">
        <v>174265</v>
      </c>
      <c r="C107" s="23">
        <f t="shared" ref="C107:C113" si="8">B107/B$113</f>
        <v>0.10532299191878045</v>
      </c>
      <c r="E107" s="12">
        <v>12.09</v>
      </c>
      <c r="F107" s="13">
        <f t="shared" ref="F107:F112" si="9">E107*C107</f>
        <v>1.2733549722980555</v>
      </c>
    </row>
    <row r="108" spans="1:6" x14ac:dyDescent="0.25">
      <c r="A108" s="3" t="s">
        <v>95</v>
      </c>
      <c r="B108" s="10">
        <v>53981</v>
      </c>
      <c r="C108" s="23">
        <f t="shared" si="8"/>
        <v>3.2625257089878561E-2</v>
      </c>
      <c r="E108" s="12">
        <v>22.46</v>
      </c>
      <c r="F108" s="13">
        <f t="shared" si="9"/>
        <v>0.73276327423867249</v>
      </c>
    </row>
    <row r="109" spans="1:6" x14ac:dyDescent="0.25">
      <c r="A109" s="3" t="s">
        <v>96</v>
      </c>
      <c r="B109" s="10">
        <v>40682</v>
      </c>
      <c r="C109" s="23">
        <f t="shared" si="8"/>
        <v>2.4587553193353952E-2</v>
      </c>
      <c r="E109" s="12">
        <v>15.12</v>
      </c>
      <c r="F109" s="13">
        <f t="shared" si="9"/>
        <v>0.37176380428351175</v>
      </c>
    </row>
    <row r="110" spans="1:6" x14ac:dyDescent="0.25">
      <c r="A110" s="3" t="s">
        <v>97</v>
      </c>
      <c r="B110" s="10">
        <v>51368</v>
      </c>
      <c r="C110" s="23">
        <f t="shared" si="8"/>
        <v>3.1046001485576073E-2</v>
      </c>
      <c r="E110" s="12">
        <v>16.62</v>
      </c>
      <c r="F110" s="13">
        <f t="shared" si="9"/>
        <v>0.51598454469027433</v>
      </c>
    </row>
    <row r="111" spans="1:6" x14ac:dyDescent="0.25">
      <c r="A111" s="3" t="s">
        <v>98</v>
      </c>
      <c r="B111" s="10">
        <v>84646</v>
      </c>
      <c r="C111" s="23">
        <f t="shared" si="8"/>
        <v>5.1158694941365677E-2</v>
      </c>
      <c r="E111" s="12">
        <v>17.38</v>
      </c>
      <c r="F111" s="13">
        <f t="shared" si="9"/>
        <v>0.88913811808093546</v>
      </c>
    </row>
    <row r="112" spans="1:6" x14ac:dyDescent="0.25">
      <c r="A112" s="3" t="s">
        <v>99</v>
      </c>
      <c r="B112" s="10">
        <v>34534</v>
      </c>
      <c r="C112" s="23">
        <f t="shared" si="8"/>
        <v>2.0871799861837799E-2</v>
      </c>
      <c r="E112" s="12">
        <v>16.41</v>
      </c>
      <c r="F112" s="13">
        <f t="shared" si="9"/>
        <v>0.34250623573275829</v>
      </c>
    </row>
    <row r="113" spans="1:6" x14ac:dyDescent="0.25">
      <c r="A113" s="20" t="s">
        <v>0</v>
      </c>
      <c r="B113" s="21">
        <f>SUM(B43:B112)</f>
        <v>1654577</v>
      </c>
      <c r="C113" s="22">
        <f t="shared" si="8"/>
        <v>1</v>
      </c>
      <c r="D113" s="18"/>
      <c r="E113" s="18"/>
      <c r="F113" s="19">
        <f>SUM(F43:F112)</f>
        <v>19.746052181312805</v>
      </c>
    </row>
    <row r="114" spans="1:6" x14ac:dyDescent="0.25">
      <c r="B114" s="10"/>
      <c r="C114" s="23"/>
      <c r="F114" s="13"/>
    </row>
    <row r="115" spans="1:6" x14ac:dyDescent="0.25">
      <c r="A115" s="3" t="s">
        <v>100</v>
      </c>
      <c r="B115" s="10">
        <v>2476</v>
      </c>
      <c r="C115" s="23">
        <f t="shared" ref="C115:C135" si="10">B115/B$137</f>
        <v>8.996929561599535E-3</v>
      </c>
      <c r="E115" s="12">
        <v>22.07</v>
      </c>
      <c r="F115" s="13">
        <f t="shared" ref="F115:F136" si="11">E115*C115</f>
        <v>0.19856223542450174</v>
      </c>
    </row>
    <row r="116" spans="1:6" x14ac:dyDescent="0.25">
      <c r="A116" s="3" t="s">
        <v>101</v>
      </c>
      <c r="B116" s="10">
        <v>42089</v>
      </c>
      <c r="C116" s="23">
        <f t="shared" si="10"/>
        <v>0.15293690158245671</v>
      </c>
      <c r="E116" s="12">
        <v>23.23</v>
      </c>
      <c r="F116" s="13">
        <f t="shared" si="11"/>
        <v>3.5527242237604693</v>
      </c>
    </row>
    <row r="117" spans="1:6" x14ac:dyDescent="0.25">
      <c r="A117" s="3" t="s">
        <v>102</v>
      </c>
      <c r="B117" s="10">
        <v>9170</v>
      </c>
      <c r="C117" s="23">
        <f t="shared" si="10"/>
        <v>3.332061554114206E-2</v>
      </c>
      <c r="E117" s="12">
        <v>23.69</v>
      </c>
      <c r="F117" s="13">
        <f t="shared" si="11"/>
        <v>0.78936538216965546</v>
      </c>
    </row>
    <row r="118" spans="1:6" x14ac:dyDescent="0.25">
      <c r="A118" s="3" t="s">
        <v>103</v>
      </c>
      <c r="B118" s="10">
        <v>9926</v>
      </c>
      <c r="C118" s="23">
        <f t="shared" si="10"/>
        <v>3.6067658654457588E-2</v>
      </c>
      <c r="E118" s="12">
        <v>20.190000000000001</v>
      </c>
      <c r="F118" s="13">
        <f t="shared" si="11"/>
        <v>0.72820602823349878</v>
      </c>
    </row>
    <row r="119" spans="1:6" x14ac:dyDescent="0.25">
      <c r="A119" s="3" t="s">
        <v>104</v>
      </c>
      <c r="B119" s="10">
        <v>16734</v>
      </c>
      <c r="C119" s="23">
        <f t="shared" si="10"/>
        <v>6.0805581293944512E-2</v>
      </c>
      <c r="E119" s="12">
        <v>19.8</v>
      </c>
      <c r="F119" s="13">
        <f t="shared" si="11"/>
        <v>1.2039505096201013</v>
      </c>
    </row>
    <row r="120" spans="1:6" x14ac:dyDescent="0.25">
      <c r="A120" s="3" t="s">
        <v>105</v>
      </c>
      <c r="B120" s="10">
        <v>6596</v>
      </c>
      <c r="C120" s="23">
        <f t="shared" si="10"/>
        <v>2.3967587798186807E-2</v>
      </c>
      <c r="E120" s="12">
        <v>21.79</v>
      </c>
      <c r="F120" s="13">
        <f t="shared" si="11"/>
        <v>0.52225373812249054</v>
      </c>
    </row>
    <row r="121" spans="1:6" x14ac:dyDescent="0.25">
      <c r="A121" s="3" t="s">
        <v>106</v>
      </c>
      <c r="B121" s="10">
        <v>10751</v>
      </c>
      <c r="C121" s="23">
        <f t="shared" si="10"/>
        <v>3.9065423956686836E-2</v>
      </c>
      <c r="E121" s="12">
        <v>19.63</v>
      </c>
      <c r="F121" s="13">
        <f t="shared" si="11"/>
        <v>0.76685427226976255</v>
      </c>
    </row>
    <row r="122" spans="1:6" x14ac:dyDescent="0.25">
      <c r="A122" s="3" t="s">
        <v>107</v>
      </c>
      <c r="B122" s="10">
        <v>4156</v>
      </c>
      <c r="C122" s="23">
        <f t="shared" si="10"/>
        <v>1.510146981341182E-2</v>
      </c>
      <c r="E122" s="12">
        <v>21.83</v>
      </c>
      <c r="F122" s="13">
        <f t="shared" si="11"/>
        <v>0.32966508602678002</v>
      </c>
    </row>
    <row r="123" spans="1:6" x14ac:dyDescent="0.25">
      <c r="A123" s="3" t="s">
        <v>108</v>
      </c>
      <c r="B123" s="10">
        <v>4137</v>
      </c>
      <c r="C123" s="23">
        <f t="shared" si="10"/>
        <v>1.5032430370087753E-2</v>
      </c>
      <c r="E123" s="12">
        <v>19.13</v>
      </c>
      <c r="F123" s="13">
        <f t="shared" si="11"/>
        <v>0.28757039297977871</v>
      </c>
    </row>
    <row r="124" spans="1:6" x14ac:dyDescent="0.25">
      <c r="A124" s="3" t="s">
        <v>109</v>
      </c>
      <c r="B124" s="10">
        <v>3698</v>
      </c>
      <c r="C124" s="23">
        <f t="shared" si="10"/>
        <v>1.3437255863810614E-2</v>
      </c>
      <c r="E124" s="12">
        <v>24.99</v>
      </c>
      <c r="F124" s="13">
        <f t="shared" si="11"/>
        <v>0.3357970240366272</v>
      </c>
    </row>
    <row r="125" spans="1:6" x14ac:dyDescent="0.25">
      <c r="A125" s="3" t="s">
        <v>110</v>
      </c>
      <c r="B125" s="10">
        <v>26946</v>
      </c>
      <c r="C125" s="23">
        <f t="shared" si="10"/>
        <v>9.7912465253174902E-2</v>
      </c>
      <c r="E125" s="12">
        <v>20.350000000000001</v>
      </c>
      <c r="F125" s="13">
        <f t="shared" si="11"/>
        <v>1.9925186679021094</v>
      </c>
    </row>
    <row r="126" spans="1:6" x14ac:dyDescent="0.25">
      <c r="A126" s="3" t="s">
        <v>111</v>
      </c>
      <c r="B126" s="10">
        <v>3449</v>
      </c>
      <c r="C126" s="23">
        <f t="shared" si="10"/>
        <v>1.2532475790774151E-2</v>
      </c>
      <c r="E126" s="12">
        <v>20.41</v>
      </c>
      <c r="F126" s="13">
        <f t="shared" si="11"/>
        <v>0.25578783088970042</v>
      </c>
    </row>
    <row r="127" spans="1:6" x14ac:dyDescent="0.25">
      <c r="A127" s="3" t="s">
        <v>112</v>
      </c>
      <c r="B127" s="10">
        <v>32870</v>
      </c>
      <c r="C127" s="23">
        <f t="shared" si="10"/>
        <v>0.11943823695063679</v>
      </c>
      <c r="E127" s="12">
        <v>19.43</v>
      </c>
      <c r="F127" s="13">
        <f t="shared" si="11"/>
        <v>2.320684943950873</v>
      </c>
    </row>
    <row r="128" spans="1:6" x14ac:dyDescent="0.25">
      <c r="A128" s="3" t="s">
        <v>113</v>
      </c>
      <c r="B128" s="10">
        <v>7214</v>
      </c>
      <c r="C128" s="23">
        <f t="shared" si="10"/>
        <v>2.6213186533674895E-2</v>
      </c>
      <c r="E128" s="12">
        <v>19.27</v>
      </c>
      <c r="F128" s="13">
        <f t="shared" si="11"/>
        <v>0.50512810450391521</v>
      </c>
    </row>
    <row r="129" spans="1:6" x14ac:dyDescent="0.25">
      <c r="A129" s="3" t="s">
        <v>114</v>
      </c>
      <c r="B129" s="10">
        <v>5411</v>
      </c>
      <c r="C129" s="23">
        <f t="shared" si="10"/>
        <v>1.9661706727712069E-2</v>
      </c>
      <c r="E129" s="12">
        <v>20.149999999999999</v>
      </c>
      <c r="F129" s="13">
        <f t="shared" si="11"/>
        <v>0.39618339056339813</v>
      </c>
    </row>
    <row r="130" spans="1:6" x14ac:dyDescent="0.25">
      <c r="A130" s="3" t="s">
        <v>115</v>
      </c>
      <c r="B130" s="10">
        <v>13989</v>
      </c>
      <c r="C130" s="23">
        <f t="shared" si="10"/>
        <v>5.0831198561072655E-2</v>
      </c>
      <c r="E130" s="12">
        <v>20.96</v>
      </c>
      <c r="F130" s="13">
        <f t="shared" si="11"/>
        <v>1.0654219218400829</v>
      </c>
    </row>
    <row r="131" spans="1:6" x14ac:dyDescent="0.25">
      <c r="A131" s="3" t="s">
        <v>116</v>
      </c>
      <c r="B131" s="10">
        <v>10166</v>
      </c>
      <c r="C131" s="23">
        <f t="shared" si="10"/>
        <v>3.6939735833287912E-2</v>
      </c>
      <c r="E131" s="12">
        <v>20.65</v>
      </c>
      <c r="F131" s="13">
        <f t="shared" si="11"/>
        <v>0.76280554495739539</v>
      </c>
    </row>
    <row r="132" spans="1:6" x14ac:dyDescent="0.25">
      <c r="A132" s="3" t="s">
        <v>117</v>
      </c>
      <c r="B132" s="10">
        <v>4016</v>
      </c>
      <c r="C132" s="23">
        <f t="shared" si="10"/>
        <v>1.4592758125760797E-2</v>
      </c>
      <c r="E132" s="12">
        <v>21.06</v>
      </c>
      <c r="F132" s="13">
        <f t="shared" si="11"/>
        <v>0.30732348612852234</v>
      </c>
    </row>
    <row r="133" spans="1:6" x14ac:dyDescent="0.25">
      <c r="A133" s="3" t="s">
        <v>118</v>
      </c>
      <c r="B133" s="10">
        <v>8883</v>
      </c>
      <c r="C133" s="23">
        <f t="shared" si="10"/>
        <v>3.2277756581457456E-2</v>
      </c>
      <c r="E133" s="12">
        <v>20.74</v>
      </c>
      <c r="F133" s="13">
        <f t="shared" si="11"/>
        <v>0.66944067149942754</v>
      </c>
    </row>
    <row r="134" spans="1:6" x14ac:dyDescent="0.25">
      <c r="A134" s="3" t="s">
        <v>119</v>
      </c>
      <c r="B134" s="10">
        <v>34534</v>
      </c>
      <c r="C134" s="23">
        <f t="shared" si="10"/>
        <v>0.1254846387238604</v>
      </c>
      <c r="E134" s="12">
        <v>17.010000000000002</v>
      </c>
      <c r="F134" s="13">
        <f t="shared" si="11"/>
        <v>2.1344937046928654</v>
      </c>
    </row>
    <row r="135" spans="1:6" x14ac:dyDescent="0.25">
      <c r="A135" s="3" t="s">
        <v>120</v>
      </c>
      <c r="B135" s="10">
        <v>10791</v>
      </c>
      <c r="C135" s="23">
        <f t="shared" si="10"/>
        <v>3.9210770153158554E-2</v>
      </c>
      <c r="E135" s="12">
        <v>20.93</v>
      </c>
      <c r="F135" s="13">
        <f t="shared" si="11"/>
        <v>0.82068141930560856</v>
      </c>
    </row>
    <row r="136" spans="1:6" x14ac:dyDescent="0.25">
      <c r="A136" s="3" t="s">
        <v>121</v>
      </c>
      <c r="B136" s="10">
        <v>7203</v>
      </c>
      <c r="C136" s="23">
        <f>B136/B$137</f>
        <v>2.6173216329645175E-2</v>
      </c>
      <c r="E136" s="12">
        <v>24.41</v>
      </c>
      <c r="F136" s="13">
        <f t="shared" si="11"/>
        <v>0.6388882106066387</v>
      </c>
    </row>
    <row r="137" spans="1:6" x14ac:dyDescent="0.25">
      <c r="A137" s="20" t="s">
        <v>0</v>
      </c>
      <c r="B137" s="21">
        <f>SUM(B115:B136)</f>
        <v>275205</v>
      </c>
      <c r="C137" s="22">
        <f>B137/B$137</f>
        <v>1</v>
      </c>
      <c r="D137" s="18"/>
      <c r="E137" s="18"/>
      <c r="F137" s="19">
        <f>SUM(F115:F136)</f>
        <v>20.584306789484195</v>
      </c>
    </row>
    <row r="138" spans="1:6" x14ac:dyDescent="0.25">
      <c r="B138" s="10"/>
      <c r="C138" s="23"/>
      <c r="F138" s="13"/>
    </row>
    <row r="139" spans="1:6" x14ac:dyDescent="0.25">
      <c r="A139" s="3" t="s">
        <v>122</v>
      </c>
      <c r="B139" s="10">
        <v>4595</v>
      </c>
      <c r="C139" s="23">
        <f>B139/B$192</f>
        <v>3.4985080899668573E-3</v>
      </c>
      <c r="E139" s="12">
        <v>23.94</v>
      </c>
      <c r="F139" s="13">
        <f t="shared" ref="F139:F191" si="12">E139*C139</f>
        <v>8.3754283673806565E-2</v>
      </c>
    </row>
    <row r="140" spans="1:6" x14ac:dyDescent="0.25">
      <c r="A140" s="3" t="s">
        <v>123</v>
      </c>
      <c r="B140" s="10">
        <v>3720</v>
      </c>
      <c r="C140" s="23">
        <f t="shared" ref="C140:C191" si="13">B140/B$192</f>
        <v>2.8323068758817648E-3</v>
      </c>
      <c r="E140" s="12">
        <v>17.93</v>
      </c>
      <c r="F140" s="13">
        <f t="shared" si="12"/>
        <v>5.0783262284560045E-2</v>
      </c>
    </row>
    <row r="141" spans="1:6" x14ac:dyDescent="0.25">
      <c r="A141" s="3" t="s">
        <v>124</v>
      </c>
      <c r="B141" s="10">
        <v>5321</v>
      </c>
      <c r="C141" s="23">
        <f t="shared" si="13"/>
        <v>4.0512647544534604E-3</v>
      </c>
      <c r="E141" s="12">
        <v>20.3</v>
      </c>
      <c r="F141" s="13">
        <f t="shared" si="12"/>
        <v>8.2240674515405246E-2</v>
      </c>
    </row>
    <row r="142" spans="1:6" x14ac:dyDescent="0.25">
      <c r="A142" s="3" t="s">
        <v>125</v>
      </c>
      <c r="B142" s="10">
        <v>4941</v>
      </c>
      <c r="C142" s="23">
        <f t="shared" si="13"/>
        <v>3.7619430843365055E-3</v>
      </c>
      <c r="E142" s="12">
        <v>18.2</v>
      </c>
      <c r="F142" s="13">
        <f t="shared" si="12"/>
        <v>6.8467364134924394E-2</v>
      </c>
    </row>
    <row r="143" spans="1:6" x14ac:dyDescent="0.25">
      <c r="A143" s="3" t="s">
        <v>126</v>
      </c>
      <c r="B143" s="10">
        <v>7732</v>
      </c>
      <c r="C143" s="23">
        <f t="shared" si="13"/>
        <v>5.8869346140639264E-3</v>
      </c>
      <c r="E143" s="12">
        <v>18.63</v>
      </c>
      <c r="F143" s="13">
        <f t="shared" si="12"/>
        <v>0.10967359186001094</v>
      </c>
    </row>
    <row r="144" spans="1:6" x14ac:dyDescent="0.25">
      <c r="A144" s="3" t="s">
        <v>127</v>
      </c>
      <c r="B144" s="10">
        <v>23196</v>
      </c>
      <c r="C144" s="23">
        <f t="shared" si="13"/>
        <v>1.7660803842191781E-2</v>
      </c>
      <c r="E144" s="12">
        <v>13.78</v>
      </c>
      <c r="F144" s="13">
        <f t="shared" si="12"/>
        <v>0.24336587694540274</v>
      </c>
    </row>
    <row r="145" spans="1:6" x14ac:dyDescent="0.25">
      <c r="A145" s="3" t="s">
        <v>128</v>
      </c>
      <c r="B145" s="10">
        <v>14578</v>
      </c>
      <c r="C145" s="23">
        <f t="shared" si="13"/>
        <v>1.1099292913065691E-2</v>
      </c>
      <c r="E145" s="12">
        <v>19.18</v>
      </c>
      <c r="F145" s="13">
        <f t="shared" si="12"/>
        <v>0.21288443807259996</v>
      </c>
    </row>
    <row r="146" spans="1:6" x14ac:dyDescent="0.25">
      <c r="A146" s="3" t="s">
        <v>129</v>
      </c>
      <c r="B146" s="10">
        <v>32377</v>
      </c>
      <c r="C146" s="23">
        <f t="shared" si="13"/>
        <v>2.465096766678062E-2</v>
      </c>
      <c r="E146" s="12">
        <v>16.73</v>
      </c>
      <c r="F146" s="13">
        <f t="shared" si="12"/>
        <v>0.41241068906523976</v>
      </c>
    </row>
    <row r="147" spans="1:6" x14ac:dyDescent="0.25">
      <c r="A147" s="3" t="s">
        <v>130</v>
      </c>
      <c r="B147" s="10">
        <v>8936</v>
      </c>
      <c r="C147" s="23">
        <f t="shared" si="13"/>
        <v>6.8036274846450138E-3</v>
      </c>
      <c r="E147" s="12">
        <v>21.57</v>
      </c>
      <c r="F147" s="13">
        <f t="shared" si="12"/>
        <v>0.14675424484379296</v>
      </c>
    </row>
    <row r="148" spans="1:6" x14ac:dyDescent="0.25">
      <c r="A148" s="3" t="s">
        <v>131</v>
      </c>
      <c r="B148" s="10">
        <v>5457</v>
      </c>
      <c r="C148" s="23">
        <f t="shared" si="13"/>
        <v>4.1548114574426857E-3</v>
      </c>
      <c r="E148" s="12">
        <v>20.8</v>
      </c>
      <c r="F148" s="13">
        <f t="shared" si="12"/>
        <v>8.6420078314807872E-2</v>
      </c>
    </row>
    <row r="149" spans="1:6" x14ac:dyDescent="0.25">
      <c r="A149" s="3" t="s">
        <v>132</v>
      </c>
      <c r="B149" s="10">
        <v>23892</v>
      </c>
      <c r="C149" s="23">
        <f t="shared" si="13"/>
        <v>1.8190719322195466E-2</v>
      </c>
      <c r="E149" s="12">
        <v>19.64</v>
      </c>
      <c r="F149" s="13">
        <f t="shared" si="12"/>
        <v>0.35726572748791896</v>
      </c>
    </row>
    <row r="150" spans="1:6" x14ac:dyDescent="0.25">
      <c r="A150" s="3" t="s">
        <v>133</v>
      </c>
      <c r="B150" s="10">
        <v>18018</v>
      </c>
      <c r="C150" s="23">
        <f t="shared" si="13"/>
        <v>1.3718415400440226E-2</v>
      </c>
      <c r="E150" s="12">
        <v>19.940000000000001</v>
      </c>
      <c r="F150" s="13">
        <f t="shared" si="12"/>
        <v>0.27354520308477809</v>
      </c>
    </row>
    <row r="151" spans="1:6" x14ac:dyDescent="0.25">
      <c r="A151" s="3" t="s">
        <v>134</v>
      </c>
      <c r="B151" s="10">
        <v>4982</v>
      </c>
      <c r="C151" s="23">
        <f t="shared" si="13"/>
        <v>3.7931593697964928E-3</v>
      </c>
      <c r="E151" s="12">
        <v>21.68</v>
      </c>
      <c r="F151" s="13">
        <f t="shared" si="12"/>
        <v>8.2235695137187967E-2</v>
      </c>
    </row>
    <row r="152" spans="1:6" x14ac:dyDescent="0.25">
      <c r="A152" s="3" t="s">
        <v>135</v>
      </c>
      <c r="B152" s="10">
        <v>21850</v>
      </c>
      <c r="C152" s="23">
        <f t="shared" si="13"/>
        <v>1.6635996031724883E-2</v>
      </c>
      <c r="E152" s="12">
        <v>20.05</v>
      </c>
      <c r="F152" s="13">
        <f t="shared" si="12"/>
        <v>0.33355172043608394</v>
      </c>
    </row>
    <row r="153" spans="1:6" x14ac:dyDescent="0.25">
      <c r="A153" s="3" t="s">
        <v>136</v>
      </c>
      <c r="B153" s="10">
        <v>7111</v>
      </c>
      <c r="C153" s="23">
        <f t="shared" si="13"/>
        <v>5.4141220952675347E-3</v>
      </c>
      <c r="E153" s="12">
        <v>19.739999999999998</v>
      </c>
      <c r="F153" s="13">
        <f t="shared" si="12"/>
        <v>0.10687477016058113</v>
      </c>
    </row>
    <row r="154" spans="1:6" x14ac:dyDescent="0.25">
      <c r="A154" s="3" t="s">
        <v>137</v>
      </c>
      <c r="B154" s="10">
        <v>9769</v>
      </c>
      <c r="C154" s="23">
        <f t="shared" si="13"/>
        <v>7.4378510404540217E-3</v>
      </c>
      <c r="E154" s="12">
        <v>19.23</v>
      </c>
      <c r="F154" s="13">
        <f t="shared" si="12"/>
        <v>0.14302987550793084</v>
      </c>
    </row>
    <row r="155" spans="1:6" x14ac:dyDescent="0.25">
      <c r="A155" s="3" t="s">
        <v>138</v>
      </c>
      <c r="B155" s="10">
        <v>7351</v>
      </c>
      <c r="C155" s="23">
        <f t="shared" si="13"/>
        <v>5.5968515711308743E-3</v>
      </c>
      <c r="E155" s="12">
        <v>21.49</v>
      </c>
      <c r="F155" s="13">
        <f t="shared" si="12"/>
        <v>0.12027634026360248</v>
      </c>
    </row>
    <row r="156" spans="1:6" x14ac:dyDescent="0.25">
      <c r="A156" s="3" t="s">
        <v>139</v>
      </c>
      <c r="B156" s="10">
        <v>36163</v>
      </c>
      <c r="C156" s="23">
        <f t="shared" si="13"/>
        <v>2.7533525148524803E-2</v>
      </c>
      <c r="E156" s="12">
        <v>19.2</v>
      </c>
      <c r="F156" s="13">
        <f t="shared" si="12"/>
        <v>0.52864368285167618</v>
      </c>
    </row>
    <row r="157" spans="1:6" x14ac:dyDescent="0.25">
      <c r="A157" s="3" t="s">
        <v>140</v>
      </c>
      <c r="B157" s="10">
        <v>9171</v>
      </c>
      <c r="C157" s="23">
        <f t="shared" si="13"/>
        <v>6.9825500964278671E-3</v>
      </c>
      <c r="E157" s="12">
        <v>21.07</v>
      </c>
      <c r="F157" s="13">
        <f t="shared" si="12"/>
        <v>0.14712233053173515</v>
      </c>
    </row>
    <row r="158" spans="1:6" x14ac:dyDescent="0.25">
      <c r="A158" s="3" t="s">
        <v>141</v>
      </c>
      <c r="B158" s="10">
        <v>11750</v>
      </c>
      <c r="C158" s="23">
        <f t="shared" si="13"/>
        <v>8.9461305891426722E-3</v>
      </c>
      <c r="E158" s="12">
        <v>21.95</v>
      </c>
      <c r="F158" s="13">
        <f t="shared" si="12"/>
        <v>0.19636756643168166</v>
      </c>
    </row>
    <row r="159" spans="1:6" x14ac:dyDescent="0.25">
      <c r="A159" s="3" t="s">
        <v>142</v>
      </c>
      <c r="B159" s="10">
        <v>9993</v>
      </c>
      <c r="C159" s="23">
        <f t="shared" si="13"/>
        <v>7.6083985512598058E-3</v>
      </c>
      <c r="E159" s="12">
        <v>22</v>
      </c>
      <c r="F159" s="13">
        <f t="shared" si="12"/>
        <v>0.16738476812771572</v>
      </c>
    </row>
    <row r="160" spans="1:6" x14ac:dyDescent="0.25">
      <c r="A160" s="3" t="s">
        <v>143</v>
      </c>
      <c r="B160" s="10">
        <v>9335</v>
      </c>
      <c r="C160" s="23">
        <f t="shared" si="13"/>
        <v>7.1074152382678158E-3</v>
      </c>
      <c r="E160" s="12">
        <v>21.78</v>
      </c>
      <c r="F160" s="13">
        <f t="shared" si="12"/>
        <v>0.15479950388947303</v>
      </c>
    </row>
    <row r="161" spans="1:6" x14ac:dyDescent="0.25">
      <c r="A161" s="3" t="s">
        <v>144</v>
      </c>
      <c r="B161" s="10">
        <v>14242</v>
      </c>
      <c r="C161" s="23">
        <f t="shared" si="13"/>
        <v>1.0843471646857014E-2</v>
      </c>
      <c r="E161" s="12">
        <v>18.149999999999999</v>
      </c>
      <c r="F161" s="13">
        <f t="shared" si="12"/>
        <v>0.19680901039045479</v>
      </c>
    </row>
    <row r="162" spans="1:6" x14ac:dyDescent="0.25">
      <c r="A162" s="3" t="s">
        <v>145</v>
      </c>
      <c r="B162" s="10">
        <v>12592</v>
      </c>
      <c r="C162" s="23">
        <f t="shared" si="13"/>
        <v>9.5872065002965551E-3</v>
      </c>
      <c r="E162" s="12">
        <v>18.29</v>
      </c>
      <c r="F162" s="13">
        <f t="shared" si="12"/>
        <v>0.17535000689042399</v>
      </c>
    </row>
    <row r="163" spans="1:6" x14ac:dyDescent="0.25">
      <c r="A163" s="3" t="s">
        <v>146</v>
      </c>
      <c r="B163" s="10">
        <v>15555</v>
      </c>
      <c r="C163" s="23">
        <f t="shared" si="13"/>
        <v>1.1843154154392702E-2</v>
      </c>
      <c r="E163" s="12">
        <v>15.8</v>
      </c>
      <c r="F163" s="13">
        <f t="shared" si="12"/>
        <v>0.18712183563940468</v>
      </c>
    </row>
    <row r="164" spans="1:6" x14ac:dyDescent="0.25">
      <c r="A164" s="3" t="s">
        <v>147</v>
      </c>
      <c r="B164" s="10">
        <v>11927</v>
      </c>
      <c r="C164" s="23">
        <f t="shared" si="13"/>
        <v>9.0808935775918836E-3</v>
      </c>
      <c r="E164" s="12">
        <v>18.34</v>
      </c>
      <c r="F164" s="13">
        <f t="shared" si="12"/>
        <v>0.16654358821303514</v>
      </c>
    </row>
    <row r="165" spans="1:6" x14ac:dyDescent="0.25">
      <c r="A165" s="3" t="s">
        <v>148</v>
      </c>
      <c r="B165" s="10">
        <v>9299</v>
      </c>
      <c r="C165" s="23">
        <f t="shared" si="13"/>
        <v>7.0800058168883151E-3</v>
      </c>
      <c r="E165" s="12">
        <v>18.399999999999999</v>
      </c>
      <c r="F165" s="13">
        <f t="shared" si="12"/>
        <v>0.13027210703074499</v>
      </c>
    </row>
    <row r="166" spans="1:6" x14ac:dyDescent="0.25">
      <c r="A166" s="3" t="s">
        <v>149</v>
      </c>
      <c r="B166" s="10">
        <v>13128</v>
      </c>
      <c r="C166" s="23">
        <f t="shared" si="13"/>
        <v>9.9953023297246792E-3</v>
      </c>
      <c r="E166" s="12">
        <v>18.97</v>
      </c>
      <c r="F166" s="13">
        <f t="shared" si="12"/>
        <v>0.18961088519487715</v>
      </c>
    </row>
    <row r="167" spans="1:6" x14ac:dyDescent="0.25">
      <c r="A167" s="3" t="s">
        <v>150</v>
      </c>
      <c r="B167" s="10">
        <v>12517</v>
      </c>
      <c r="C167" s="23">
        <f t="shared" si="13"/>
        <v>9.5301035390892609E-3</v>
      </c>
      <c r="E167" s="12">
        <v>19.02</v>
      </c>
      <c r="F167" s="13">
        <f t="shared" si="12"/>
        <v>0.18126256931347773</v>
      </c>
    </row>
    <row r="168" spans="1:6" x14ac:dyDescent="0.25">
      <c r="A168" s="3" t="s">
        <v>151</v>
      </c>
      <c r="B168" s="10">
        <v>27142</v>
      </c>
      <c r="C168" s="23">
        <f t="shared" si="13"/>
        <v>2.0665180974511522E-2</v>
      </c>
      <c r="E168" s="12">
        <v>17.04</v>
      </c>
      <c r="F168" s="13">
        <f t="shared" si="12"/>
        <v>0.35213468380567631</v>
      </c>
    </row>
    <row r="169" spans="1:6" x14ac:dyDescent="0.25">
      <c r="A169" s="3" t="s">
        <v>152</v>
      </c>
      <c r="B169" s="10">
        <v>11331</v>
      </c>
      <c r="C169" s="23">
        <f t="shared" si="13"/>
        <v>8.6271153791979242E-3</v>
      </c>
      <c r="E169" s="12">
        <v>17.399999999999999</v>
      </c>
      <c r="F169" s="13">
        <f t="shared" si="12"/>
        <v>0.15011180759804388</v>
      </c>
    </row>
    <row r="170" spans="1:6" x14ac:dyDescent="0.25">
      <c r="A170" s="3" t="s">
        <v>153</v>
      </c>
      <c r="B170" s="10">
        <v>12183</v>
      </c>
      <c r="C170" s="23">
        <f t="shared" si="13"/>
        <v>9.2758050185127797E-3</v>
      </c>
      <c r="E170" s="12">
        <v>19.260000000000002</v>
      </c>
      <c r="F170" s="13">
        <f t="shared" si="12"/>
        <v>0.17865200465655615</v>
      </c>
    </row>
    <row r="171" spans="1:6" x14ac:dyDescent="0.25">
      <c r="A171" s="3" t="s">
        <v>154</v>
      </c>
      <c r="B171" s="10">
        <v>10511</v>
      </c>
      <c r="C171" s="23">
        <f t="shared" si="13"/>
        <v>8.0027896699981799E-3</v>
      </c>
      <c r="E171" s="12">
        <v>17.510000000000002</v>
      </c>
      <c r="F171" s="13">
        <f t="shared" si="12"/>
        <v>0.14012884712166815</v>
      </c>
    </row>
    <row r="172" spans="1:6" x14ac:dyDescent="0.25">
      <c r="A172" s="3" t="s">
        <v>155</v>
      </c>
      <c r="B172" s="10">
        <v>15455</v>
      </c>
      <c r="C172" s="23">
        <f t="shared" si="13"/>
        <v>1.1767016872782978E-2</v>
      </c>
      <c r="E172" s="12">
        <v>17</v>
      </c>
      <c r="F172" s="13">
        <f t="shared" si="12"/>
        <v>0.20003928683731062</v>
      </c>
    </row>
    <row r="173" spans="1:6" x14ac:dyDescent="0.25">
      <c r="A173" s="3" t="s">
        <v>156</v>
      </c>
      <c r="B173" s="10">
        <v>15091</v>
      </c>
      <c r="C173" s="23">
        <f t="shared" si="13"/>
        <v>1.1489877167723579E-2</v>
      </c>
      <c r="E173" s="12">
        <v>20</v>
      </c>
      <c r="F173" s="13">
        <f t="shared" si="12"/>
        <v>0.22979754335447158</v>
      </c>
    </row>
    <row r="174" spans="1:6" x14ac:dyDescent="0.25">
      <c r="A174" s="3" t="s">
        <v>157</v>
      </c>
      <c r="B174" s="10">
        <v>22062</v>
      </c>
      <c r="C174" s="23">
        <f t="shared" si="13"/>
        <v>1.6797407068737499E-2</v>
      </c>
      <c r="E174" s="12">
        <v>19.27</v>
      </c>
      <c r="F174" s="13">
        <f t="shared" si="12"/>
        <v>0.32368603421457159</v>
      </c>
    </row>
    <row r="175" spans="1:6" x14ac:dyDescent="0.25">
      <c r="A175" s="3" t="s">
        <v>158</v>
      </c>
      <c r="B175" s="10">
        <v>15892</v>
      </c>
      <c r="C175" s="23">
        <f t="shared" si="13"/>
        <v>1.2099736793417476E-2</v>
      </c>
      <c r="E175" s="12">
        <v>16.5</v>
      </c>
      <c r="F175" s="13">
        <f t="shared" si="12"/>
        <v>0.19964565709138835</v>
      </c>
    </row>
    <row r="176" spans="1:6" x14ac:dyDescent="0.25">
      <c r="A176" s="3" t="s">
        <v>159</v>
      </c>
      <c r="B176" s="10">
        <v>45275</v>
      </c>
      <c r="C176" s="23">
        <f t="shared" si="13"/>
        <v>3.4471154248802933E-2</v>
      </c>
      <c r="E176" s="12">
        <v>20.77</v>
      </c>
      <c r="F176" s="13">
        <f t="shared" si="12"/>
        <v>0.71596587374763687</v>
      </c>
    </row>
    <row r="177" spans="1:6" x14ac:dyDescent="0.25">
      <c r="A177" s="3" t="s">
        <v>160</v>
      </c>
      <c r="B177" s="10">
        <v>13909</v>
      </c>
      <c r="C177" s="23">
        <f t="shared" si="13"/>
        <v>1.0589934499096631E-2</v>
      </c>
      <c r="E177" s="12">
        <v>19.399999999999999</v>
      </c>
      <c r="F177" s="13">
        <f t="shared" si="12"/>
        <v>0.20544472928247462</v>
      </c>
    </row>
    <row r="178" spans="1:6" x14ac:dyDescent="0.25">
      <c r="A178" s="3" t="s">
        <v>161</v>
      </c>
      <c r="B178" s="10">
        <v>14173</v>
      </c>
      <c r="C178" s="23">
        <f t="shared" si="13"/>
        <v>1.0790936922546304E-2</v>
      </c>
      <c r="E178" s="12">
        <v>17.87</v>
      </c>
      <c r="F178" s="13">
        <f t="shared" si="12"/>
        <v>0.19283404280590247</v>
      </c>
    </row>
    <row r="179" spans="1:6" x14ac:dyDescent="0.25">
      <c r="A179" s="3" t="s">
        <v>162</v>
      </c>
      <c r="B179" s="10">
        <v>9860</v>
      </c>
      <c r="C179" s="23">
        <f t="shared" si="13"/>
        <v>7.5071359667188715E-3</v>
      </c>
      <c r="E179" s="12">
        <v>21.27</v>
      </c>
      <c r="F179" s="13">
        <f t="shared" si="12"/>
        <v>0.15967678201211039</v>
      </c>
    </row>
    <row r="180" spans="1:6" x14ac:dyDescent="0.25">
      <c r="A180" s="3" t="s">
        <v>163</v>
      </c>
      <c r="B180" s="10">
        <v>17395</v>
      </c>
      <c r="C180" s="23">
        <f t="shared" si="13"/>
        <v>1.324408013601164E-2</v>
      </c>
      <c r="E180" s="12">
        <v>20.3</v>
      </c>
      <c r="F180" s="13">
        <f t="shared" si="12"/>
        <v>0.26885482676103628</v>
      </c>
    </row>
    <row r="181" spans="1:6" x14ac:dyDescent="0.25">
      <c r="A181" s="3" t="s">
        <v>164</v>
      </c>
      <c r="B181" s="10">
        <v>16263</v>
      </c>
      <c r="C181" s="23">
        <f t="shared" si="13"/>
        <v>1.2382206108189554E-2</v>
      </c>
      <c r="E181" s="12">
        <v>18.63</v>
      </c>
      <c r="F181" s="13">
        <f t="shared" si="12"/>
        <v>0.2306804997955714</v>
      </c>
    </row>
    <row r="182" spans="1:6" x14ac:dyDescent="0.25">
      <c r="A182" s="3" t="s">
        <v>165</v>
      </c>
      <c r="B182" s="10">
        <v>18327</v>
      </c>
      <c r="C182" s="23">
        <f t="shared" si="13"/>
        <v>1.3953679600614275E-2</v>
      </c>
      <c r="E182" s="12">
        <v>21.86</v>
      </c>
      <c r="F182" s="13">
        <f t="shared" si="12"/>
        <v>0.30502743606942806</v>
      </c>
    </row>
    <row r="183" spans="1:6" x14ac:dyDescent="0.25">
      <c r="A183" s="3" t="s">
        <v>166</v>
      </c>
      <c r="B183" s="10">
        <v>43316</v>
      </c>
      <c r="C183" s="23">
        <f t="shared" si="13"/>
        <v>3.2979624902068419E-2</v>
      </c>
      <c r="E183" s="12">
        <v>20.28</v>
      </c>
      <c r="F183" s="13">
        <f t="shared" si="12"/>
        <v>0.66882679301394754</v>
      </c>
    </row>
    <row r="184" spans="1:6" x14ac:dyDescent="0.25">
      <c r="A184" s="3" t="s">
        <v>167</v>
      </c>
      <c r="B184" s="10">
        <v>25681</v>
      </c>
      <c r="C184" s="23">
        <f t="shared" si="13"/>
        <v>1.9552815290193443E-2</v>
      </c>
      <c r="E184" s="12">
        <v>18.52</v>
      </c>
      <c r="F184" s="13">
        <f t="shared" si="12"/>
        <v>0.36211813917438257</v>
      </c>
    </row>
    <row r="185" spans="1:6" x14ac:dyDescent="0.25">
      <c r="A185" s="3" t="s">
        <v>168</v>
      </c>
      <c r="B185" s="10">
        <v>21047</v>
      </c>
      <c r="C185" s="23">
        <f t="shared" si="13"/>
        <v>1.6024613660398791E-2</v>
      </c>
      <c r="E185" s="12">
        <v>20.079999999999998</v>
      </c>
      <c r="F185" s="13">
        <f t="shared" si="12"/>
        <v>0.3217742423008077</v>
      </c>
    </row>
    <row r="186" spans="1:6" x14ac:dyDescent="0.25">
      <c r="A186" s="3" t="s">
        <v>169</v>
      </c>
      <c r="B186" s="10">
        <v>10733</v>
      </c>
      <c r="C186" s="23">
        <f t="shared" si="13"/>
        <v>8.1718144351717696E-3</v>
      </c>
      <c r="E186" s="12">
        <v>20.61</v>
      </c>
      <c r="F186" s="13">
        <f t="shared" si="12"/>
        <v>0.16842109550889017</v>
      </c>
    </row>
    <row r="187" spans="1:6" x14ac:dyDescent="0.25">
      <c r="A187" s="3" t="s">
        <v>170</v>
      </c>
      <c r="B187" s="10">
        <v>44050</v>
      </c>
      <c r="C187" s="23">
        <f t="shared" si="13"/>
        <v>3.3538472549083799E-2</v>
      </c>
      <c r="E187" s="12">
        <v>19.16</v>
      </c>
      <c r="F187" s="13">
        <f t="shared" si="12"/>
        <v>0.64259713404044561</v>
      </c>
    </row>
    <row r="188" spans="1:6" x14ac:dyDescent="0.25">
      <c r="A188" s="3" t="s">
        <v>171</v>
      </c>
      <c r="B188" s="10">
        <v>20115</v>
      </c>
      <c r="C188" s="23">
        <f t="shared" si="13"/>
        <v>1.5315014195796155E-2</v>
      </c>
      <c r="E188" s="12">
        <v>19.41</v>
      </c>
      <c r="F188" s="13">
        <f t="shared" si="12"/>
        <v>0.29726442554040339</v>
      </c>
    </row>
    <row r="189" spans="1:6" x14ac:dyDescent="0.25">
      <c r="A189" s="3" t="s">
        <v>172</v>
      </c>
      <c r="B189" s="10">
        <v>36281</v>
      </c>
      <c r="C189" s="23">
        <f t="shared" si="13"/>
        <v>2.7623367140824279E-2</v>
      </c>
      <c r="E189" s="12">
        <v>17.45</v>
      </c>
      <c r="F189" s="13">
        <f t="shared" si="12"/>
        <v>0.48202775660738362</v>
      </c>
    </row>
    <row r="190" spans="1:6" x14ac:dyDescent="0.25">
      <c r="A190" s="3" t="s">
        <v>173</v>
      </c>
      <c r="B190" s="10">
        <v>162273</v>
      </c>
      <c r="C190" s="23">
        <f>B190/B$192</f>
        <v>0.12355025098654883</v>
      </c>
      <c r="E190" s="12">
        <v>17.34</v>
      </c>
      <c r="F190" s="13">
        <f t="shared" si="12"/>
        <v>2.1423613521067568</v>
      </c>
    </row>
    <row r="191" spans="1:6" x14ac:dyDescent="0.25">
      <c r="A191" s="3" t="s">
        <v>174</v>
      </c>
      <c r="B191" s="10">
        <v>315554</v>
      </c>
      <c r="C191" s="23">
        <f t="shared" si="13"/>
        <v>0.24025423761075118</v>
      </c>
      <c r="E191" s="12">
        <v>16.239999999999998</v>
      </c>
      <c r="F191" s="13">
        <f t="shared" si="12"/>
        <v>3.901728818798599</v>
      </c>
    </row>
    <row r="192" spans="1:6" x14ac:dyDescent="0.25">
      <c r="A192" s="20" t="s">
        <v>0</v>
      </c>
      <c r="B192" s="21">
        <f>SUM(B139:B191)</f>
        <v>1313417</v>
      </c>
      <c r="C192" s="22">
        <f>B192/B$192</f>
        <v>1</v>
      </c>
      <c r="D192" s="18"/>
      <c r="E192" s="18"/>
      <c r="F192" s="19">
        <f>SUM(F139:F191)</f>
        <v>18.174621502538798</v>
      </c>
    </row>
    <row r="193" spans="1:6" x14ac:dyDescent="0.25">
      <c r="B193" s="10"/>
      <c r="C193" s="23"/>
      <c r="F193" s="13"/>
    </row>
    <row r="194" spans="1:6" x14ac:dyDescent="0.25">
      <c r="A194" s="17" t="s">
        <v>175</v>
      </c>
      <c r="B194" s="10">
        <f>B113</f>
        <v>1654577</v>
      </c>
      <c r="C194" s="23">
        <f>B194/B$197</f>
        <v>0.51016820121121154</v>
      </c>
      <c r="E194" s="13">
        <f>F113</f>
        <v>19.746052181312805</v>
      </c>
      <c r="F194" s="13">
        <f>E194*C194</f>
        <v>10.073807922363073</v>
      </c>
    </row>
    <row r="195" spans="1:6" x14ac:dyDescent="0.25">
      <c r="A195" s="17" t="s">
        <v>176</v>
      </c>
      <c r="B195" s="10">
        <f>B137</f>
        <v>275205</v>
      </c>
      <c r="C195" s="23">
        <f>B195/B$197</f>
        <v>8.4856032577711085E-2</v>
      </c>
      <c r="E195" s="13">
        <f>F137</f>
        <v>20.584306789484195</v>
      </c>
      <c r="F195" s="13">
        <f>E195*C195</f>
        <v>1.7467026075180703</v>
      </c>
    </row>
    <row r="196" spans="1:6" x14ac:dyDescent="0.25">
      <c r="A196" s="17" t="s">
        <v>177</v>
      </c>
      <c r="B196" s="10">
        <f>B192</f>
        <v>1313417</v>
      </c>
      <c r="C196" s="23">
        <f>B196/B$197</f>
        <v>0.40497576621107739</v>
      </c>
      <c r="E196" s="13">
        <f>F192</f>
        <v>18.174621502538798</v>
      </c>
      <c r="F196" s="13">
        <f>E196*C196</f>
        <v>7.3602812685869727</v>
      </c>
    </row>
    <row r="197" spans="1:6" x14ac:dyDescent="0.25">
      <c r="A197" s="20" t="s">
        <v>0</v>
      </c>
      <c r="B197" s="21">
        <f>SUM(B194:B196)</f>
        <v>3243199</v>
      </c>
      <c r="C197" s="25">
        <f>B197/B$197</f>
        <v>1</v>
      </c>
      <c r="D197" s="18"/>
      <c r="E197" s="18"/>
      <c r="F197" s="19">
        <f>SUM(F194:F196)</f>
        <v>19.180791798468118</v>
      </c>
    </row>
    <row r="200" spans="1:6" x14ac:dyDescent="0.25">
      <c r="A200" s="9" t="s">
        <v>946</v>
      </c>
    </row>
    <row r="201" spans="1:6" x14ac:dyDescent="0.25">
      <c r="A201" s="3" t="s">
        <v>178</v>
      </c>
      <c r="B201" s="10">
        <v>10415</v>
      </c>
      <c r="C201" s="23">
        <f>B201/B$266</f>
        <v>7.7579779052193354E-3</v>
      </c>
      <c r="E201" s="12">
        <v>19.86</v>
      </c>
      <c r="F201" s="13">
        <f t="shared" ref="F201:F264" si="14">E201*C201</f>
        <v>0.15407344119765601</v>
      </c>
    </row>
    <row r="202" spans="1:6" x14ac:dyDescent="0.25">
      <c r="A202" s="3" t="s">
        <v>179</v>
      </c>
      <c r="B202" s="10">
        <v>36354</v>
      </c>
      <c r="C202" s="23">
        <f t="shared" ref="C202:C265" si="15">B202/B$266</f>
        <v>2.7079551489807365E-2</v>
      </c>
      <c r="E202" s="12">
        <v>16.63</v>
      </c>
      <c r="F202" s="13">
        <f t="shared" si="14"/>
        <v>0.45033294127549645</v>
      </c>
    </row>
    <row r="203" spans="1:6" x14ac:dyDescent="0.25">
      <c r="A203" s="3" t="s">
        <v>180</v>
      </c>
      <c r="B203" s="10">
        <v>38207</v>
      </c>
      <c r="C203" s="23">
        <f t="shared" si="15"/>
        <v>2.8459823506933761E-2</v>
      </c>
      <c r="E203" s="12">
        <v>18.62</v>
      </c>
      <c r="F203" s="13">
        <f t="shared" si="14"/>
        <v>0.52992191369910668</v>
      </c>
    </row>
    <row r="204" spans="1:6" x14ac:dyDescent="0.25">
      <c r="A204" s="3" t="s">
        <v>181</v>
      </c>
      <c r="B204" s="10">
        <v>20766</v>
      </c>
      <c r="C204" s="23">
        <f t="shared" si="15"/>
        <v>1.5468283166565983E-2</v>
      </c>
      <c r="E204" s="12">
        <v>19.579999999999998</v>
      </c>
      <c r="F204" s="13">
        <f t="shared" si="14"/>
        <v>0.3028689844013619</v>
      </c>
    </row>
    <row r="205" spans="1:6" x14ac:dyDescent="0.25">
      <c r="A205" s="3" t="s">
        <v>182</v>
      </c>
      <c r="B205" s="10">
        <v>7789</v>
      </c>
      <c r="C205" s="23">
        <f t="shared" si="15"/>
        <v>5.8019097363181376E-3</v>
      </c>
      <c r="E205" s="12">
        <v>22.14</v>
      </c>
      <c r="F205" s="13">
        <f t="shared" si="14"/>
        <v>0.12845428156208358</v>
      </c>
    </row>
    <row r="206" spans="1:6" x14ac:dyDescent="0.25">
      <c r="A206" s="3" t="s">
        <v>183</v>
      </c>
      <c r="B206" s="10">
        <v>7382</v>
      </c>
      <c r="C206" s="23">
        <f t="shared" si="15"/>
        <v>5.4987415166902675E-3</v>
      </c>
      <c r="E206" s="12">
        <v>18.71</v>
      </c>
      <c r="F206" s="13">
        <f t="shared" si="14"/>
        <v>0.10288145377727491</v>
      </c>
    </row>
    <row r="207" spans="1:6" x14ac:dyDescent="0.25">
      <c r="A207" s="3" t="s">
        <v>184</v>
      </c>
      <c r="B207" s="10">
        <v>52421</v>
      </c>
      <c r="C207" s="23">
        <f t="shared" si="15"/>
        <v>3.9047619757033393E-2</v>
      </c>
      <c r="E207" s="12">
        <v>18.510000000000002</v>
      </c>
      <c r="F207" s="13">
        <f t="shared" si="14"/>
        <v>0.72277144170268814</v>
      </c>
    </row>
    <row r="208" spans="1:6" x14ac:dyDescent="0.25">
      <c r="A208" s="3" t="s">
        <v>185</v>
      </c>
      <c r="B208" s="10">
        <v>7007</v>
      </c>
      <c r="C208" s="23">
        <f t="shared" si="15"/>
        <v>5.2194096189987407E-3</v>
      </c>
      <c r="E208" s="12">
        <v>19.82</v>
      </c>
      <c r="F208" s="13">
        <f t="shared" si="14"/>
        <v>0.10344869864855503</v>
      </c>
    </row>
    <row r="209" spans="1:6" x14ac:dyDescent="0.25">
      <c r="A209" s="3" t="s">
        <v>186</v>
      </c>
      <c r="B209" s="10">
        <v>6805</v>
      </c>
      <c r="C209" s="23">
        <f t="shared" si="15"/>
        <v>5.0689428367755715E-3</v>
      </c>
      <c r="E209" s="12">
        <v>23.39</v>
      </c>
      <c r="F209" s="13">
        <f t="shared" si="14"/>
        <v>0.11856257295218062</v>
      </c>
    </row>
    <row r="210" spans="1:6" x14ac:dyDescent="0.25">
      <c r="A210" s="3" t="s">
        <v>187</v>
      </c>
      <c r="B210" s="10">
        <v>22980</v>
      </c>
      <c r="C210" s="23">
        <f t="shared" si="15"/>
        <v>1.7117458690536758E-2</v>
      </c>
      <c r="E210" s="12">
        <v>16.649999999999999</v>
      </c>
      <c r="F210" s="13">
        <f t="shared" si="14"/>
        <v>0.28500568719743702</v>
      </c>
    </row>
    <row r="211" spans="1:6" x14ac:dyDescent="0.25">
      <c r="A211" s="3" t="s">
        <v>188</v>
      </c>
      <c r="B211" s="10">
        <v>8783</v>
      </c>
      <c r="C211" s="23">
        <f t="shared" si="15"/>
        <v>6.5423254864658111E-3</v>
      </c>
      <c r="E211" s="12">
        <v>20.83</v>
      </c>
      <c r="F211" s="13">
        <f t="shared" si="14"/>
        <v>0.13627663988308283</v>
      </c>
    </row>
    <row r="212" spans="1:6" x14ac:dyDescent="0.25">
      <c r="A212" s="3" t="s">
        <v>189</v>
      </c>
      <c r="B212" s="10">
        <v>14314</v>
      </c>
      <c r="C212" s="23">
        <f t="shared" si="15"/>
        <v>1.0662284756150702E-2</v>
      </c>
      <c r="E212" s="12">
        <v>18.059999999999999</v>
      </c>
      <c r="F212" s="13">
        <f t="shared" si="14"/>
        <v>0.19256086269608166</v>
      </c>
    </row>
    <row r="213" spans="1:6" x14ac:dyDescent="0.25">
      <c r="A213" s="3" t="s">
        <v>190</v>
      </c>
      <c r="B213" s="10">
        <v>6552</v>
      </c>
      <c r="C213" s="23">
        <f t="shared" si="15"/>
        <v>4.8804869164663549E-3</v>
      </c>
      <c r="E213" s="12">
        <v>21.36</v>
      </c>
      <c r="F213" s="13">
        <f t="shared" si="14"/>
        <v>0.10424720053572134</v>
      </c>
    </row>
    <row r="214" spans="1:6" x14ac:dyDescent="0.25">
      <c r="A214" s="3" t="s">
        <v>191</v>
      </c>
      <c r="B214" s="10">
        <v>12000</v>
      </c>
      <c r="C214" s="23">
        <f t="shared" si="15"/>
        <v>8.9386207261288545E-3</v>
      </c>
      <c r="E214" s="12">
        <v>17.07</v>
      </c>
      <c r="F214" s="13">
        <f t="shared" si="14"/>
        <v>0.15258225579501955</v>
      </c>
    </row>
    <row r="215" spans="1:6" x14ac:dyDescent="0.25">
      <c r="A215" s="3" t="s">
        <v>192</v>
      </c>
      <c r="B215" s="10">
        <v>14072</v>
      </c>
      <c r="C215" s="23">
        <f t="shared" si="15"/>
        <v>1.0482022571507104E-2</v>
      </c>
      <c r="E215" s="12">
        <v>17.7</v>
      </c>
      <c r="F215" s="13">
        <f t="shared" si="14"/>
        <v>0.18553179951567575</v>
      </c>
    </row>
    <row r="216" spans="1:6" x14ac:dyDescent="0.25">
      <c r="A216" s="3" t="s">
        <v>193</v>
      </c>
      <c r="B216" s="10">
        <v>9807</v>
      </c>
      <c r="C216" s="23">
        <f t="shared" si="15"/>
        <v>7.3050877884288067E-3</v>
      </c>
      <c r="E216" s="12">
        <v>17.34</v>
      </c>
      <c r="F216" s="13">
        <f t="shared" si="14"/>
        <v>0.12667022225135552</v>
      </c>
    </row>
    <row r="217" spans="1:6" x14ac:dyDescent="0.25">
      <c r="A217" s="3" t="s">
        <v>194</v>
      </c>
      <c r="B217" s="10">
        <v>20230</v>
      </c>
      <c r="C217" s="23">
        <f t="shared" si="15"/>
        <v>1.5069024774132227E-2</v>
      </c>
      <c r="E217" s="12">
        <v>18.55</v>
      </c>
      <c r="F217" s="13">
        <f t="shared" si="14"/>
        <v>0.27953040956015285</v>
      </c>
    </row>
    <row r="218" spans="1:6" x14ac:dyDescent="0.25">
      <c r="A218" s="3" t="s">
        <v>195</v>
      </c>
      <c r="B218" s="10">
        <v>11370</v>
      </c>
      <c r="C218" s="23">
        <f t="shared" si="15"/>
        <v>8.4693431380070891E-3</v>
      </c>
      <c r="E218" s="12">
        <v>20.41</v>
      </c>
      <c r="F218" s="13">
        <f t="shared" si="14"/>
        <v>0.17285929344672468</v>
      </c>
    </row>
    <row r="219" spans="1:6" x14ac:dyDescent="0.25">
      <c r="A219" s="3" t="s">
        <v>196</v>
      </c>
      <c r="B219" s="10">
        <v>77893</v>
      </c>
      <c r="C219" s="23">
        <f t="shared" si="15"/>
        <v>5.8021332018362903E-2</v>
      </c>
      <c r="E219" s="12">
        <v>17.739999999999998</v>
      </c>
      <c r="F219" s="13">
        <f t="shared" si="14"/>
        <v>1.0292984300057577</v>
      </c>
    </row>
    <row r="220" spans="1:6" x14ac:dyDescent="0.25">
      <c r="A220" s="3" t="s">
        <v>197</v>
      </c>
      <c r="B220" s="10">
        <v>7128</v>
      </c>
      <c r="C220" s="23">
        <f t="shared" si="15"/>
        <v>5.3095407113205395E-3</v>
      </c>
      <c r="E220" s="12">
        <v>21.2</v>
      </c>
      <c r="F220" s="13">
        <f t="shared" si="14"/>
        <v>0.11256226307999544</v>
      </c>
    </row>
    <row r="221" spans="1:6" x14ac:dyDescent="0.25">
      <c r="A221" s="3" t="s">
        <v>198</v>
      </c>
      <c r="B221" s="10">
        <v>35102</v>
      </c>
      <c r="C221" s="23">
        <f t="shared" si="15"/>
        <v>2.6146955394047922E-2</v>
      </c>
      <c r="E221" s="12">
        <v>22.32</v>
      </c>
      <c r="F221" s="13">
        <f t="shared" si="14"/>
        <v>0.58360004439514968</v>
      </c>
    </row>
    <row r="222" spans="1:6" x14ac:dyDescent="0.25">
      <c r="A222" s="3" t="s">
        <v>199</v>
      </c>
      <c r="B222" s="10">
        <v>9288</v>
      </c>
      <c r="C222" s="23">
        <f t="shared" si="15"/>
        <v>6.9184924420237336E-3</v>
      </c>
      <c r="E222" s="12">
        <v>20.350000000000001</v>
      </c>
      <c r="F222" s="13">
        <f t="shared" si="14"/>
        <v>0.14079132119518298</v>
      </c>
    </row>
    <row r="223" spans="1:6" x14ac:dyDescent="0.25">
      <c r="A223" s="3" t="s">
        <v>200</v>
      </c>
      <c r="B223" s="10">
        <v>11485</v>
      </c>
      <c r="C223" s="23">
        <f t="shared" si="15"/>
        <v>8.5550049199658255E-3</v>
      </c>
      <c r="E223" s="12">
        <v>18.72</v>
      </c>
      <c r="F223" s="13">
        <f t="shared" si="14"/>
        <v>0.16014969210176025</v>
      </c>
    </row>
    <row r="224" spans="1:6" x14ac:dyDescent="0.25">
      <c r="A224" s="3" t="s">
        <v>201</v>
      </c>
      <c r="B224" s="10">
        <v>8314</v>
      </c>
      <c r="C224" s="23">
        <f t="shared" si="15"/>
        <v>6.1929743930862749E-3</v>
      </c>
      <c r="E224" s="12">
        <v>19.18</v>
      </c>
      <c r="F224" s="13">
        <f t="shared" si="14"/>
        <v>0.11878124885939476</v>
      </c>
    </row>
    <row r="225" spans="1:6" x14ac:dyDescent="0.25">
      <c r="A225" s="3" t="s">
        <v>202</v>
      </c>
      <c r="B225" s="10">
        <v>53348</v>
      </c>
      <c r="C225" s="23">
        <f t="shared" si="15"/>
        <v>3.9738128208126847E-2</v>
      </c>
      <c r="E225" s="12">
        <v>18.95</v>
      </c>
      <c r="F225" s="13">
        <f t="shared" si="14"/>
        <v>0.75303752954400371</v>
      </c>
    </row>
    <row r="226" spans="1:6" x14ac:dyDescent="0.25">
      <c r="A226" s="3" t="s">
        <v>203</v>
      </c>
      <c r="B226" s="10">
        <v>37333</v>
      </c>
      <c r="C226" s="23">
        <f t="shared" si="15"/>
        <v>2.7808793964047378E-2</v>
      </c>
      <c r="E226" s="12">
        <v>18.05</v>
      </c>
      <c r="F226" s="13">
        <f t="shared" si="14"/>
        <v>0.5019487310510552</v>
      </c>
    </row>
    <row r="227" spans="1:6" x14ac:dyDescent="0.25">
      <c r="A227" s="3" t="s">
        <v>204</v>
      </c>
      <c r="B227" s="10">
        <v>6247</v>
      </c>
      <c r="C227" s="23">
        <f t="shared" si="15"/>
        <v>4.6532969730105796E-3</v>
      </c>
      <c r="E227" s="12">
        <v>16.79</v>
      </c>
      <c r="F227" s="13">
        <f t="shared" si="14"/>
        <v>7.812885617684763E-2</v>
      </c>
    </row>
    <row r="228" spans="1:6" x14ac:dyDescent="0.25">
      <c r="A228" s="3" t="s">
        <v>205</v>
      </c>
      <c r="B228" s="10">
        <v>15874</v>
      </c>
      <c r="C228" s="23">
        <f t="shared" si="15"/>
        <v>1.1824305450547454E-2</v>
      </c>
      <c r="E228" s="12">
        <v>26.2</v>
      </c>
      <c r="F228" s="13">
        <f t="shared" si="14"/>
        <v>0.3097968028043433</v>
      </c>
    </row>
    <row r="229" spans="1:6" x14ac:dyDescent="0.25">
      <c r="A229" s="3" t="s">
        <v>206</v>
      </c>
      <c r="B229" s="10">
        <v>19757</v>
      </c>
      <c r="C229" s="23">
        <f t="shared" si="15"/>
        <v>1.4716694140510649E-2</v>
      </c>
      <c r="E229" s="12">
        <v>19.03</v>
      </c>
      <c r="F229" s="13">
        <f t="shared" si="14"/>
        <v>0.28005868949391766</v>
      </c>
    </row>
    <row r="230" spans="1:6" x14ac:dyDescent="0.25">
      <c r="A230" s="3" t="s">
        <v>207</v>
      </c>
      <c r="B230" s="10">
        <v>9733</v>
      </c>
      <c r="C230" s="23">
        <f t="shared" si="15"/>
        <v>7.249966293951012E-3</v>
      </c>
      <c r="E230" s="12">
        <v>18.98</v>
      </c>
      <c r="F230" s="13">
        <f t="shared" si="14"/>
        <v>0.13760436025919021</v>
      </c>
    </row>
    <row r="231" spans="1:6" x14ac:dyDescent="0.25">
      <c r="A231" s="3" t="s">
        <v>208</v>
      </c>
      <c r="B231" s="10">
        <v>29644</v>
      </c>
      <c r="C231" s="23">
        <f t="shared" si="15"/>
        <v>2.2081372733780313E-2</v>
      </c>
      <c r="E231" s="12">
        <v>17.559999999999999</v>
      </c>
      <c r="F231" s="13">
        <f t="shared" si="14"/>
        <v>0.38774890520518224</v>
      </c>
    </row>
    <row r="232" spans="1:6" x14ac:dyDescent="0.25">
      <c r="A232" s="3" t="s">
        <v>209</v>
      </c>
      <c r="B232" s="10">
        <v>11500</v>
      </c>
      <c r="C232" s="23">
        <f t="shared" si="15"/>
        <v>8.5661781958734865E-3</v>
      </c>
      <c r="E232" s="12">
        <v>19.21</v>
      </c>
      <c r="F232" s="13">
        <f t="shared" si="14"/>
        <v>0.16455628314272969</v>
      </c>
    </row>
    <row r="233" spans="1:6" x14ac:dyDescent="0.25">
      <c r="A233" s="3" t="s">
        <v>210</v>
      </c>
      <c r="B233" s="10">
        <v>14455</v>
      </c>
      <c r="C233" s="23">
        <f t="shared" si="15"/>
        <v>1.0767313549682717E-2</v>
      </c>
      <c r="E233" s="12">
        <v>16.48</v>
      </c>
      <c r="F233" s="13">
        <f t="shared" si="14"/>
        <v>0.17744532729877116</v>
      </c>
    </row>
    <row r="234" spans="1:6" x14ac:dyDescent="0.25">
      <c r="A234" s="3" t="s">
        <v>211</v>
      </c>
      <c r="B234" s="10">
        <v>13671</v>
      </c>
      <c r="C234" s="23">
        <f t="shared" si="15"/>
        <v>1.0183323662242299E-2</v>
      </c>
      <c r="E234" s="12">
        <v>20.39</v>
      </c>
      <c r="F234" s="13">
        <f t="shared" si="14"/>
        <v>0.20763796947312047</v>
      </c>
    </row>
    <row r="235" spans="1:6" x14ac:dyDescent="0.25">
      <c r="A235" s="3" t="s">
        <v>212</v>
      </c>
      <c r="B235" s="10">
        <v>20222</v>
      </c>
      <c r="C235" s="23">
        <f t="shared" si="15"/>
        <v>1.5063065693648141E-2</v>
      </c>
      <c r="E235" s="12">
        <v>16.920000000000002</v>
      </c>
      <c r="F235" s="13">
        <f t="shared" si="14"/>
        <v>0.2548670715365266</v>
      </c>
    </row>
    <row r="236" spans="1:6" x14ac:dyDescent="0.25">
      <c r="A236" s="3" t="s">
        <v>213</v>
      </c>
      <c r="B236" s="10">
        <v>12863</v>
      </c>
      <c r="C236" s="23">
        <f t="shared" si="15"/>
        <v>9.5814565333496218E-3</v>
      </c>
      <c r="E236" s="12">
        <v>20.329999999999998</v>
      </c>
      <c r="F236" s="13">
        <f t="shared" si="14"/>
        <v>0.19479101132299778</v>
      </c>
    </row>
    <row r="237" spans="1:6" x14ac:dyDescent="0.25">
      <c r="A237" s="3" t="s">
        <v>214</v>
      </c>
      <c r="B237" s="10">
        <v>37616</v>
      </c>
      <c r="C237" s="23">
        <f t="shared" si="15"/>
        <v>2.8019596436171915E-2</v>
      </c>
      <c r="E237" s="12">
        <v>18.14</v>
      </c>
      <c r="F237" s="13">
        <f t="shared" si="14"/>
        <v>0.50827547935215855</v>
      </c>
    </row>
    <row r="238" spans="1:6" x14ac:dyDescent="0.25">
      <c r="A238" s="3" t="s">
        <v>215</v>
      </c>
      <c r="B238" s="10">
        <v>15822</v>
      </c>
      <c r="C238" s="23">
        <f t="shared" si="15"/>
        <v>1.1785571427400894E-2</v>
      </c>
      <c r="E238" s="12">
        <v>24.1</v>
      </c>
      <c r="F238" s="13">
        <f t="shared" si="14"/>
        <v>0.28403227140036158</v>
      </c>
    </row>
    <row r="239" spans="1:6" x14ac:dyDescent="0.25">
      <c r="A239" s="3" t="s">
        <v>216</v>
      </c>
      <c r="B239" s="10">
        <v>11681</v>
      </c>
      <c r="C239" s="23">
        <f t="shared" si="15"/>
        <v>8.7010023918259287E-3</v>
      </c>
      <c r="E239" s="12">
        <v>20.81</v>
      </c>
      <c r="F239" s="13">
        <f t="shared" si="14"/>
        <v>0.18106785977389755</v>
      </c>
    </row>
    <row r="240" spans="1:6" x14ac:dyDescent="0.25">
      <c r="A240" s="3" t="s">
        <v>217</v>
      </c>
      <c r="B240" s="10">
        <v>37030</v>
      </c>
      <c r="C240" s="23">
        <f t="shared" si="15"/>
        <v>2.7583093790712623E-2</v>
      </c>
      <c r="E240" s="12">
        <v>18.32</v>
      </c>
      <c r="F240" s="13">
        <f t="shared" si="14"/>
        <v>0.50532227824585529</v>
      </c>
    </row>
    <row r="241" spans="1:6" x14ac:dyDescent="0.25">
      <c r="A241" s="3" t="s">
        <v>218</v>
      </c>
      <c r="B241" s="10">
        <v>47468</v>
      </c>
      <c r="C241" s="23">
        <f t="shared" si="15"/>
        <v>3.5358204052323705E-2</v>
      </c>
      <c r="E241" s="12">
        <v>23.39</v>
      </c>
      <c r="F241" s="13">
        <f t="shared" si="14"/>
        <v>0.82702839278385143</v>
      </c>
    </row>
    <row r="242" spans="1:6" x14ac:dyDescent="0.25">
      <c r="A242" s="3" t="s">
        <v>219</v>
      </c>
      <c r="B242" s="10">
        <v>12141</v>
      </c>
      <c r="C242" s="23">
        <f t="shared" si="15"/>
        <v>9.043649519660869E-3</v>
      </c>
      <c r="E242" s="12">
        <v>22.01</v>
      </c>
      <c r="F242" s="13">
        <f t="shared" si="14"/>
        <v>0.19905072592773573</v>
      </c>
    </row>
    <row r="243" spans="1:6" x14ac:dyDescent="0.25">
      <c r="A243" s="3" t="s">
        <v>220</v>
      </c>
      <c r="B243" s="10">
        <v>25259</v>
      </c>
      <c r="C243" s="23">
        <f t="shared" si="15"/>
        <v>1.8815051743440728E-2</v>
      </c>
      <c r="E243" s="12">
        <v>22.94</v>
      </c>
      <c r="F243" s="13">
        <f t="shared" si="14"/>
        <v>0.43161728699453034</v>
      </c>
    </row>
    <row r="244" spans="1:6" x14ac:dyDescent="0.25">
      <c r="A244" s="3" t="s">
        <v>221</v>
      </c>
      <c r="B244" s="10">
        <v>10402</v>
      </c>
      <c r="C244" s="23">
        <f t="shared" si="15"/>
        <v>7.7482943994326954E-3</v>
      </c>
      <c r="E244" s="12">
        <v>23.17</v>
      </c>
      <c r="F244" s="13">
        <f t="shared" si="14"/>
        <v>0.17952798123485555</v>
      </c>
    </row>
    <row r="245" spans="1:6" x14ac:dyDescent="0.25">
      <c r="A245" s="3" t="s">
        <v>222</v>
      </c>
      <c r="B245" s="10">
        <v>19901</v>
      </c>
      <c r="C245" s="23">
        <f t="shared" si="15"/>
        <v>1.4823957589224194E-2</v>
      </c>
      <c r="E245" s="12">
        <v>23.45</v>
      </c>
      <c r="F245" s="13">
        <f t="shared" si="14"/>
        <v>0.34762180546730737</v>
      </c>
    </row>
    <row r="246" spans="1:6" x14ac:dyDescent="0.25">
      <c r="A246" s="3" t="s">
        <v>223</v>
      </c>
      <c r="B246" s="10">
        <v>13253</v>
      </c>
      <c r="C246" s="23">
        <f t="shared" si="15"/>
        <v>9.8719617069488088E-3</v>
      </c>
      <c r="E246" s="12">
        <v>23.53</v>
      </c>
      <c r="F246" s="13">
        <f t="shared" si="14"/>
        <v>0.23228725896450547</v>
      </c>
    </row>
    <row r="247" spans="1:6" x14ac:dyDescent="0.25">
      <c r="A247" s="3" t="s">
        <v>224</v>
      </c>
      <c r="B247" s="10">
        <v>10840</v>
      </c>
      <c r="C247" s="23">
        <f t="shared" si="15"/>
        <v>8.074554055936399E-3</v>
      </c>
      <c r="E247" s="12">
        <v>19.809999999999999</v>
      </c>
      <c r="F247" s="13">
        <f t="shared" si="14"/>
        <v>0.15995691584810007</v>
      </c>
    </row>
    <row r="248" spans="1:6" x14ac:dyDescent="0.25">
      <c r="A248" s="3" t="s">
        <v>225</v>
      </c>
      <c r="B248" s="10">
        <v>20895</v>
      </c>
      <c r="C248" s="23">
        <f t="shared" si="15"/>
        <v>1.5564373339371869E-2</v>
      </c>
      <c r="E248" s="12">
        <v>22.17</v>
      </c>
      <c r="F248" s="13">
        <f t="shared" si="14"/>
        <v>0.34506215693387438</v>
      </c>
    </row>
    <row r="249" spans="1:6" x14ac:dyDescent="0.25">
      <c r="A249" s="3" t="s">
        <v>226</v>
      </c>
      <c r="B249" s="10">
        <v>40245</v>
      </c>
      <c r="C249" s="23">
        <f t="shared" si="15"/>
        <v>2.9977899260254647E-2</v>
      </c>
      <c r="E249" s="12">
        <v>15.75</v>
      </c>
      <c r="F249" s="13">
        <f t="shared" si="14"/>
        <v>0.47215191334901069</v>
      </c>
    </row>
    <row r="250" spans="1:6" x14ac:dyDescent="0.25">
      <c r="A250" s="3" t="s">
        <v>227</v>
      </c>
      <c r="B250" s="10">
        <v>71930</v>
      </c>
      <c r="C250" s="23">
        <f t="shared" si="15"/>
        <v>5.3579582402537379E-2</v>
      </c>
      <c r="E250" s="12">
        <v>14.27</v>
      </c>
      <c r="F250" s="13">
        <f t="shared" si="14"/>
        <v>0.76458064088420841</v>
      </c>
    </row>
    <row r="251" spans="1:6" x14ac:dyDescent="0.25">
      <c r="A251" s="3" t="s">
        <v>228</v>
      </c>
      <c r="B251" s="10">
        <v>43489</v>
      </c>
      <c r="C251" s="23">
        <f t="shared" si="15"/>
        <v>3.2394306396551477E-2</v>
      </c>
      <c r="E251" s="12">
        <v>18.68</v>
      </c>
      <c r="F251" s="13">
        <f t="shared" si="14"/>
        <v>0.60512564348758158</v>
      </c>
    </row>
    <row r="252" spans="1:6" x14ac:dyDescent="0.25">
      <c r="A252" s="3" t="s">
        <v>229</v>
      </c>
      <c r="B252" s="10">
        <v>17361</v>
      </c>
      <c r="C252" s="23">
        <f t="shared" si="15"/>
        <v>1.2931949535526921E-2</v>
      </c>
      <c r="E252" s="12">
        <v>17.37</v>
      </c>
      <c r="F252" s="13">
        <f t="shared" si="14"/>
        <v>0.22462796343210265</v>
      </c>
    </row>
    <row r="253" spans="1:6" x14ac:dyDescent="0.25">
      <c r="A253" s="3" t="s">
        <v>230</v>
      </c>
      <c r="B253" s="10">
        <v>49824</v>
      </c>
      <c r="C253" s="23">
        <f t="shared" si="15"/>
        <v>3.7113153254887003E-2</v>
      </c>
      <c r="E253" s="12">
        <v>16.43</v>
      </c>
      <c r="F253" s="13">
        <f t="shared" si="14"/>
        <v>0.60976910797779349</v>
      </c>
    </row>
    <row r="254" spans="1:6" x14ac:dyDescent="0.25">
      <c r="A254" s="3" t="s">
        <v>231</v>
      </c>
      <c r="B254" s="10">
        <v>8830</v>
      </c>
      <c r="C254" s="23">
        <f t="shared" si="15"/>
        <v>6.5773350843098153E-3</v>
      </c>
      <c r="E254" s="12">
        <v>17.8</v>
      </c>
      <c r="F254" s="13">
        <f t="shared" si="14"/>
        <v>0.11707656450071471</v>
      </c>
    </row>
    <row r="255" spans="1:6" x14ac:dyDescent="0.25">
      <c r="A255" s="3" t="s">
        <v>232</v>
      </c>
      <c r="B255" s="10">
        <v>8317</v>
      </c>
      <c r="C255" s="23">
        <f t="shared" si="15"/>
        <v>6.1952090482678074E-3</v>
      </c>
      <c r="E255" s="12">
        <v>20.39</v>
      </c>
      <c r="F255" s="13">
        <f t="shared" si="14"/>
        <v>0.1263203124941806</v>
      </c>
    </row>
    <row r="256" spans="1:6" x14ac:dyDescent="0.25">
      <c r="A256" s="3" t="s">
        <v>233</v>
      </c>
      <c r="B256" s="10">
        <v>11208</v>
      </c>
      <c r="C256" s="23">
        <f t="shared" si="15"/>
        <v>8.3486717582043502E-3</v>
      </c>
      <c r="E256" s="12">
        <v>20.67</v>
      </c>
      <c r="F256" s="13">
        <f t="shared" si="14"/>
        <v>0.17256704524208394</v>
      </c>
    </row>
    <row r="257" spans="1:6" x14ac:dyDescent="0.25">
      <c r="A257" s="3" t="s">
        <v>234</v>
      </c>
      <c r="B257" s="10">
        <v>7564</v>
      </c>
      <c r="C257" s="23">
        <f t="shared" si="15"/>
        <v>5.6343105977032211E-3</v>
      </c>
      <c r="E257" s="12">
        <v>18.489999999999998</v>
      </c>
      <c r="F257" s="13">
        <f t="shared" si="14"/>
        <v>0.10417840295153255</v>
      </c>
    </row>
    <row r="258" spans="1:6" x14ac:dyDescent="0.25">
      <c r="A258" s="3" t="s">
        <v>235</v>
      </c>
      <c r="B258" s="10">
        <v>11832</v>
      </c>
      <c r="C258" s="23">
        <f t="shared" si="15"/>
        <v>8.8134800359630505E-3</v>
      </c>
      <c r="E258" s="12">
        <v>22.35</v>
      </c>
      <c r="F258" s="13">
        <f t="shared" si="14"/>
        <v>0.1969812788037742</v>
      </c>
    </row>
    <row r="259" spans="1:6" x14ac:dyDescent="0.25">
      <c r="A259" s="3" t="s">
        <v>236</v>
      </c>
      <c r="B259" s="10">
        <v>15336</v>
      </c>
      <c r="C259" s="23">
        <f t="shared" si="15"/>
        <v>1.1423557287992676E-2</v>
      </c>
      <c r="E259" s="12">
        <v>24.68</v>
      </c>
      <c r="F259" s="13">
        <f t="shared" si="14"/>
        <v>0.28193339386765925</v>
      </c>
    </row>
    <row r="260" spans="1:6" x14ac:dyDescent="0.25">
      <c r="A260" s="3" t="s">
        <v>237</v>
      </c>
      <c r="B260" s="10">
        <v>19595</v>
      </c>
      <c r="C260" s="23">
        <f t="shared" si="15"/>
        <v>1.4596022760707908E-2</v>
      </c>
      <c r="E260" s="12">
        <v>16.07</v>
      </c>
      <c r="F260" s="13">
        <f t="shared" si="14"/>
        <v>0.2345580857645761</v>
      </c>
    </row>
    <row r="261" spans="1:6" x14ac:dyDescent="0.25">
      <c r="A261" s="3" t="s">
        <v>238</v>
      </c>
      <c r="B261" s="10">
        <v>6651</v>
      </c>
      <c r="C261" s="23">
        <f t="shared" si="15"/>
        <v>4.954230537456918E-3</v>
      </c>
      <c r="E261" s="12">
        <v>19.670000000000002</v>
      </c>
      <c r="F261" s="13">
        <f t="shared" si="14"/>
        <v>9.7449714671777585E-2</v>
      </c>
    </row>
    <row r="262" spans="1:6" x14ac:dyDescent="0.25">
      <c r="A262" s="3" t="s">
        <v>239</v>
      </c>
      <c r="B262" s="10">
        <v>20807</v>
      </c>
      <c r="C262" s="23">
        <f t="shared" si="15"/>
        <v>1.5498823454046923E-2</v>
      </c>
      <c r="E262" s="12">
        <v>15.66</v>
      </c>
      <c r="F262" s="13">
        <f t="shared" si="14"/>
        <v>0.24271157529037482</v>
      </c>
    </row>
    <row r="263" spans="1:6" x14ac:dyDescent="0.25">
      <c r="A263" s="3" t="s">
        <v>240</v>
      </c>
      <c r="B263" s="10">
        <v>9616</v>
      </c>
      <c r="C263" s="23">
        <f t="shared" si="15"/>
        <v>7.1628147418712554E-3</v>
      </c>
      <c r="E263" s="12">
        <v>17.64</v>
      </c>
      <c r="F263" s="13">
        <f t="shared" si="14"/>
        <v>0.12635205204660896</v>
      </c>
    </row>
    <row r="264" spans="1:6" x14ac:dyDescent="0.25">
      <c r="A264" s="3" t="s">
        <v>241</v>
      </c>
      <c r="B264" s="10">
        <v>13304</v>
      </c>
      <c r="C264" s="23">
        <f t="shared" si="15"/>
        <v>9.909950845034857E-3</v>
      </c>
      <c r="E264" s="12">
        <v>21.26</v>
      </c>
      <c r="F264" s="13">
        <f t="shared" si="14"/>
        <v>0.21068555496544109</v>
      </c>
    </row>
    <row r="265" spans="1:6" x14ac:dyDescent="0.25">
      <c r="A265" s="3" t="s">
        <v>242</v>
      </c>
      <c r="B265" s="10">
        <v>23161</v>
      </c>
      <c r="C265" s="23">
        <f t="shared" si="15"/>
        <v>1.7252282886489199E-2</v>
      </c>
      <c r="E265" s="12">
        <v>14.52</v>
      </c>
      <c r="F265" s="13">
        <f>E265*C265</f>
        <v>0.25050314751182318</v>
      </c>
    </row>
    <row r="266" spans="1:6" x14ac:dyDescent="0.25">
      <c r="A266" s="20" t="s">
        <v>0</v>
      </c>
      <c r="B266" s="21">
        <f>SUM(B198:B265)</f>
        <v>1342489</v>
      </c>
      <c r="C266" s="22">
        <f>B266/B$266</f>
        <v>1</v>
      </c>
      <c r="D266" s="18"/>
      <c r="E266" s="18"/>
      <c r="F266" s="19">
        <f>SUM(F198:F265)</f>
        <v>18.87980744721186</v>
      </c>
    </row>
    <row r="267" spans="1:6" x14ac:dyDescent="0.25">
      <c r="B267" s="10"/>
      <c r="C267" s="23"/>
      <c r="F267" s="13"/>
    </row>
    <row r="268" spans="1:6" x14ac:dyDescent="0.25">
      <c r="A268" s="17" t="s">
        <v>243</v>
      </c>
      <c r="B268" s="10">
        <f>B266</f>
        <v>1342489</v>
      </c>
      <c r="C268" s="23">
        <f t="shared" ref="C268:C305" si="16">B268/B$305</f>
        <v>0.58139813864456258</v>
      </c>
      <c r="E268" s="13">
        <f>F266</f>
        <v>18.87980744721186</v>
      </c>
      <c r="F268" s="13">
        <f t="shared" ref="F268:F304" si="17">E268*C268</f>
        <v>10.976684907776725</v>
      </c>
    </row>
    <row r="269" spans="1:6" x14ac:dyDescent="0.25">
      <c r="A269" s="3" t="s">
        <v>244</v>
      </c>
      <c r="B269" s="10">
        <v>49263</v>
      </c>
      <c r="C269" s="23">
        <f t="shared" si="16"/>
        <v>2.1334563265730359E-2</v>
      </c>
      <c r="E269" s="12">
        <v>20.54</v>
      </c>
      <c r="F269" s="13">
        <f t="shared" si="17"/>
        <v>0.43821192947810156</v>
      </c>
    </row>
    <row r="270" spans="1:6" x14ac:dyDescent="0.25">
      <c r="A270" s="3" t="s">
        <v>245</v>
      </c>
      <c r="B270" s="10">
        <v>18438</v>
      </c>
      <c r="C270" s="23">
        <f t="shared" si="16"/>
        <v>7.9850329353376038E-3</v>
      </c>
      <c r="E270" s="12">
        <v>21.79</v>
      </c>
      <c r="F270" s="13">
        <f t="shared" si="17"/>
        <v>0.17399386766100639</v>
      </c>
    </row>
    <row r="271" spans="1:6" x14ac:dyDescent="0.25">
      <c r="A271" s="3" t="s">
        <v>246</v>
      </c>
      <c r="B271" s="10">
        <v>20548</v>
      </c>
      <c r="C271" s="23">
        <f t="shared" si="16"/>
        <v>8.8988207373531334E-3</v>
      </c>
      <c r="E271" s="12">
        <v>20.81</v>
      </c>
      <c r="F271" s="13">
        <f t="shared" si="17"/>
        <v>0.1851844595443187</v>
      </c>
    </row>
    <row r="272" spans="1:6" x14ac:dyDescent="0.25">
      <c r="A272" s="3" t="s">
        <v>247</v>
      </c>
      <c r="B272" s="10">
        <v>17298</v>
      </c>
      <c r="C272" s="23">
        <f t="shared" si="16"/>
        <v>7.4913276773766061E-3</v>
      </c>
      <c r="E272" s="12">
        <v>19.93</v>
      </c>
      <c r="F272" s="13">
        <f t="shared" si="17"/>
        <v>0.14930216061011575</v>
      </c>
    </row>
    <row r="273" spans="1:6" x14ac:dyDescent="0.25">
      <c r="A273" s="3" t="s">
        <v>248</v>
      </c>
      <c r="B273" s="10">
        <v>43058</v>
      </c>
      <c r="C273" s="23">
        <f t="shared" si="16"/>
        <v>1.8647334208144406E-2</v>
      </c>
      <c r="E273" s="12">
        <v>20.09</v>
      </c>
      <c r="F273" s="13">
        <f t="shared" si="17"/>
        <v>0.37462494424162113</v>
      </c>
    </row>
    <row r="274" spans="1:6" x14ac:dyDescent="0.25">
      <c r="A274" s="3" t="s">
        <v>249</v>
      </c>
      <c r="B274" s="10">
        <v>86868</v>
      </c>
      <c r="C274" s="23">
        <f t="shared" si="16"/>
        <v>3.762034065662799E-2</v>
      </c>
      <c r="E274" s="12">
        <v>18.37</v>
      </c>
      <c r="F274" s="13">
        <f t="shared" si="17"/>
        <v>0.69108565786225618</v>
      </c>
    </row>
    <row r="275" spans="1:6" x14ac:dyDescent="0.25">
      <c r="A275" s="3" t="s">
        <v>250</v>
      </c>
      <c r="B275" s="10">
        <v>46658</v>
      </c>
      <c r="C275" s="23">
        <f t="shared" si="16"/>
        <v>2.0206403443810712E-2</v>
      </c>
      <c r="E275" s="12">
        <v>18.309999999999999</v>
      </c>
      <c r="F275" s="13">
        <f t="shared" si="17"/>
        <v>0.36997924705617413</v>
      </c>
    </row>
    <row r="276" spans="1:6" x14ac:dyDescent="0.25">
      <c r="A276" s="3" t="s">
        <v>251</v>
      </c>
      <c r="B276" s="10">
        <v>26163</v>
      </c>
      <c r="C276" s="23">
        <f t="shared" si="16"/>
        <v>1.1330535670204887E-2</v>
      </c>
      <c r="E276" s="12">
        <v>21.88</v>
      </c>
      <c r="F276" s="13">
        <f t="shared" si="17"/>
        <v>0.24791212046408292</v>
      </c>
    </row>
    <row r="277" spans="1:6" x14ac:dyDescent="0.25">
      <c r="A277" s="3" t="s">
        <v>252</v>
      </c>
      <c r="B277" s="10">
        <v>60892</v>
      </c>
      <c r="C277" s="23">
        <f t="shared" si="16"/>
        <v>2.6370789971720217E-2</v>
      </c>
      <c r="E277" s="12">
        <v>19.68</v>
      </c>
      <c r="F277" s="13">
        <f t="shared" si="17"/>
        <v>0.51897714664345385</v>
      </c>
    </row>
    <row r="278" spans="1:6" x14ac:dyDescent="0.25">
      <c r="A278" s="3" t="s">
        <v>253</v>
      </c>
      <c r="B278" s="10">
        <v>29680</v>
      </c>
      <c r="C278" s="23">
        <f t="shared" si="16"/>
        <v>1.2853659698493333E-2</v>
      </c>
      <c r="E278" s="12">
        <v>21.27</v>
      </c>
      <c r="F278" s="13">
        <f t="shared" si="17"/>
        <v>0.27339734178695319</v>
      </c>
    </row>
    <row r="279" spans="1:6" x14ac:dyDescent="0.25">
      <c r="A279" s="3" t="s">
        <v>254</v>
      </c>
      <c r="B279" s="10">
        <v>10359</v>
      </c>
      <c r="C279" s="23">
        <f t="shared" si="16"/>
        <v>4.4862217256297987E-3</v>
      </c>
      <c r="E279" s="12">
        <v>18.3</v>
      </c>
      <c r="F279" s="13">
        <f t="shared" si="17"/>
        <v>8.2097857579025324E-2</v>
      </c>
    </row>
    <row r="280" spans="1:6" x14ac:dyDescent="0.25">
      <c r="A280" s="3" t="s">
        <v>255</v>
      </c>
      <c r="B280" s="10">
        <v>12451</v>
      </c>
      <c r="C280" s="23">
        <f t="shared" si="16"/>
        <v>5.3922141814669979E-3</v>
      </c>
      <c r="E280" s="12">
        <v>20.07</v>
      </c>
      <c r="F280" s="13">
        <f t="shared" si="17"/>
        <v>0.10822173862204265</v>
      </c>
    </row>
    <row r="281" spans="1:6" x14ac:dyDescent="0.25">
      <c r="A281" s="3" t="s">
        <v>256</v>
      </c>
      <c r="B281" s="10">
        <v>12326</v>
      </c>
      <c r="C281" s="23">
        <f t="shared" si="16"/>
        <v>5.3380798330063617E-3</v>
      </c>
      <c r="E281" s="12">
        <v>20.87</v>
      </c>
      <c r="F281" s="13">
        <f t="shared" si="17"/>
        <v>0.11140572611484277</v>
      </c>
    </row>
    <row r="282" spans="1:6" x14ac:dyDescent="0.25">
      <c r="A282" s="3" t="s">
        <v>257</v>
      </c>
      <c r="B282" s="10">
        <v>16333</v>
      </c>
      <c r="C282" s="23">
        <f t="shared" si="16"/>
        <v>7.0734105072604988E-3</v>
      </c>
      <c r="E282" s="12">
        <v>17.66</v>
      </c>
      <c r="F282" s="13">
        <f t="shared" si="17"/>
        <v>0.12491642955822041</v>
      </c>
    </row>
    <row r="283" spans="1:6" x14ac:dyDescent="0.25">
      <c r="A283" s="3" t="s">
        <v>258</v>
      </c>
      <c r="B283" s="10">
        <v>21685</v>
      </c>
      <c r="C283" s="23">
        <f t="shared" si="16"/>
        <v>9.3912267709510763E-3</v>
      </c>
      <c r="E283" s="12">
        <v>18.14</v>
      </c>
      <c r="F283" s="13">
        <f t="shared" si="17"/>
        <v>0.17035685362505254</v>
      </c>
    </row>
    <row r="284" spans="1:6" x14ac:dyDescent="0.25">
      <c r="A284" s="3" t="s">
        <v>259</v>
      </c>
      <c r="B284" s="10">
        <v>11966</v>
      </c>
      <c r="C284" s="23">
        <f t="shared" si="16"/>
        <v>5.1821729094397315E-3</v>
      </c>
      <c r="E284" s="12">
        <v>23.99</v>
      </c>
      <c r="F284" s="13">
        <f t="shared" si="17"/>
        <v>0.12432032809745915</v>
      </c>
    </row>
    <row r="285" spans="1:6" x14ac:dyDescent="0.25">
      <c r="A285" s="3" t="s">
        <v>260</v>
      </c>
      <c r="B285" s="10">
        <v>68890</v>
      </c>
      <c r="C285" s="23">
        <f t="shared" si="16"/>
        <v>2.9834522123625529E-2</v>
      </c>
      <c r="E285" s="12">
        <v>15.35</v>
      </c>
      <c r="F285" s="13">
        <f t="shared" si="17"/>
        <v>0.45795991459765184</v>
      </c>
    </row>
    <row r="286" spans="1:6" x14ac:dyDescent="0.25">
      <c r="A286" s="3" t="s">
        <v>261</v>
      </c>
      <c r="B286" s="10">
        <v>11869</v>
      </c>
      <c r="C286" s="23">
        <f t="shared" si="16"/>
        <v>5.1401646550342777E-3</v>
      </c>
      <c r="E286" s="12">
        <v>24.98</v>
      </c>
      <c r="F286" s="13">
        <f t="shared" si="17"/>
        <v>0.12840131308275626</v>
      </c>
    </row>
    <row r="287" spans="1:6" x14ac:dyDescent="0.25">
      <c r="A287" s="3" t="s">
        <v>262</v>
      </c>
      <c r="B287" s="10">
        <v>10957</v>
      </c>
      <c r="C287" s="23">
        <f t="shared" si="16"/>
        <v>4.7452004486654804E-3</v>
      </c>
      <c r="E287" s="12">
        <v>22.31</v>
      </c>
      <c r="F287" s="13">
        <f t="shared" si="17"/>
        <v>0.10586542200972686</v>
      </c>
    </row>
    <row r="288" spans="1:6" x14ac:dyDescent="0.25">
      <c r="A288" s="3" t="s">
        <v>263</v>
      </c>
      <c r="B288" s="10">
        <v>48607</v>
      </c>
      <c r="C288" s="23">
        <f t="shared" si="16"/>
        <v>2.1050466205008944E-2</v>
      </c>
      <c r="E288" s="12">
        <v>19.7</v>
      </c>
      <c r="F288" s="13">
        <f t="shared" si="17"/>
        <v>0.41469418423867621</v>
      </c>
    </row>
    <row r="289" spans="1:6" x14ac:dyDescent="0.25">
      <c r="A289" s="3" t="s">
        <v>264</v>
      </c>
      <c r="B289" s="10">
        <v>24647</v>
      </c>
      <c r="C289" s="23">
        <f t="shared" si="16"/>
        <v>1.0673994292074298E-2</v>
      </c>
      <c r="E289" s="12">
        <v>18.649999999999999</v>
      </c>
      <c r="F289" s="13">
        <f t="shared" si="17"/>
        <v>0.19906999354718563</v>
      </c>
    </row>
    <row r="290" spans="1:6" x14ac:dyDescent="0.25">
      <c r="A290" s="3" t="s">
        <v>265</v>
      </c>
      <c r="B290" s="10">
        <v>11966</v>
      </c>
      <c r="C290" s="23">
        <f t="shared" si="16"/>
        <v>5.1821729094397315E-3</v>
      </c>
      <c r="E290" s="12">
        <v>24.45</v>
      </c>
      <c r="F290" s="13">
        <f t="shared" si="17"/>
        <v>0.12670412763580144</v>
      </c>
    </row>
    <row r="291" spans="1:6" x14ac:dyDescent="0.25">
      <c r="A291" s="3" t="s">
        <v>266</v>
      </c>
      <c r="B291" s="10">
        <v>31045</v>
      </c>
      <c r="C291" s="23">
        <f t="shared" si="16"/>
        <v>1.3444806783683474E-2</v>
      </c>
      <c r="E291" s="12">
        <v>20.57</v>
      </c>
      <c r="F291" s="13">
        <f t="shared" si="17"/>
        <v>0.27655967554036909</v>
      </c>
    </row>
    <row r="292" spans="1:6" x14ac:dyDescent="0.25">
      <c r="A292" s="3" t="s">
        <v>267</v>
      </c>
      <c r="B292" s="10">
        <v>12967</v>
      </c>
      <c r="C292" s="23">
        <f t="shared" si="16"/>
        <v>5.6156807719125014E-3</v>
      </c>
      <c r="E292" s="12">
        <v>18.600000000000001</v>
      </c>
      <c r="F292" s="13">
        <f t="shared" si="17"/>
        <v>0.10445166235757253</v>
      </c>
    </row>
    <row r="293" spans="1:6" x14ac:dyDescent="0.25">
      <c r="A293" s="3" t="s">
        <v>268</v>
      </c>
      <c r="B293" s="10">
        <v>74323</v>
      </c>
      <c r="C293" s="23">
        <f t="shared" si="16"/>
        <v>3.2187417445118598E-2</v>
      </c>
      <c r="E293" s="12">
        <v>16.420000000000002</v>
      </c>
      <c r="F293" s="13">
        <f t="shared" si="17"/>
        <v>0.52851739444884738</v>
      </c>
    </row>
    <row r="294" spans="1:6" x14ac:dyDescent="0.25">
      <c r="A294" s="3" t="s">
        <v>269</v>
      </c>
      <c r="B294" s="10">
        <v>10695</v>
      </c>
      <c r="C294" s="23">
        <f t="shared" si="16"/>
        <v>4.631734854291988E-3</v>
      </c>
      <c r="E294" s="12">
        <v>16.399999999999999</v>
      </c>
      <c r="F294" s="13">
        <f t="shared" si="17"/>
        <v>7.5960451610388599E-2</v>
      </c>
    </row>
    <row r="295" spans="1:6" x14ac:dyDescent="0.25">
      <c r="A295" s="3" t="s">
        <v>270</v>
      </c>
      <c r="B295" s="10">
        <v>25511</v>
      </c>
      <c r="C295" s="23">
        <f t="shared" si="16"/>
        <v>1.1048170908634213E-2</v>
      </c>
      <c r="E295" s="12">
        <v>14.93</v>
      </c>
      <c r="F295" s="13">
        <f t="shared" si="17"/>
        <v>0.1649491916659088</v>
      </c>
    </row>
    <row r="296" spans="1:6" x14ac:dyDescent="0.25">
      <c r="A296" s="3" t="s">
        <v>271</v>
      </c>
      <c r="B296" s="10">
        <v>8920</v>
      </c>
      <c r="C296" s="23">
        <f t="shared" si="16"/>
        <v>3.8630271061509611E-3</v>
      </c>
      <c r="E296" s="12">
        <v>18.68</v>
      </c>
      <c r="F296" s="13">
        <f t="shared" si="17"/>
        <v>7.2161346342899946E-2</v>
      </c>
    </row>
    <row r="297" spans="1:6" x14ac:dyDescent="0.25">
      <c r="A297" s="3" t="s">
        <v>272</v>
      </c>
      <c r="B297" s="10">
        <v>4537</v>
      </c>
      <c r="C297" s="23">
        <f t="shared" si="16"/>
        <v>1.9648603117272323E-3</v>
      </c>
      <c r="E297" s="12">
        <v>16.48</v>
      </c>
      <c r="F297" s="13">
        <f t="shared" si="17"/>
        <v>3.2380897937264785E-2</v>
      </c>
    </row>
    <row r="298" spans="1:6" x14ac:dyDescent="0.25">
      <c r="A298" s="3" t="s">
        <v>273</v>
      </c>
      <c r="B298" s="10">
        <v>19736</v>
      </c>
      <c r="C298" s="23">
        <f t="shared" si="16"/>
        <v>8.5471640097528438E-3</v>
      </c>
      <c r="E298" s="12">
        <v>17.8</v>
      </c>
      <c r="F298" s="13">
        <f t="shared" si="17"/>
        <v>0.15213951937360062</v>
      </c>
    </row>
    <row r="299" spans="1:6" x14ac:dyDescent="0.25">
      <c r="A299" s="3" t="s">
        <v>274</v>
      </c>
      <c r="B299" s="10">
        <v>8101</v>
      </c>
      <c r="C299" s="23">
        <f t="shared" si="16"/>
        <v>3.5083388550368761E-3</v>
      </c>
      <c r="E299" s="12">
        <v>18.739999999999998</v>
      </c>
      <c r="F299" s="13">
        <f t="shared" si="17"/>
        <v>6.5746270143391058E-2</v>
      </c>
    </row>
    <row r="300" spans="1:6" x14ac:dyDescent="0.25">
      <c r="A300" s="3" t="s">
        <v>275</v>
      </c>
      <c r="B300" s="10">
        <v>30025</v>
      </c>
      <c r="C300" s="23">
        <f t="shared" si="16"/>
        <v>1.3003070500244688E-2</v>
      </c>
      <c r="E300" s="12">
        <v>18.23</v>
      </c>
      <c r="F300" s="13">
        <f t="shared" si="17"/>
        <v>0.23704597521946066</v>
      </c>
    </row>
    <row r="301" spans="1:6" x14ac:dyDescent="0.25">
      <c r="A301" s="3" t="s">
        <v>276</v>
      </c>
      <c r="B301" s="10">
        <v>14509</v>
      </c>
      <c r="C301" s="23">
        <f t="shared" si="16"/>
        <v>6.2834820945229033E-3</v>
      </c>
      <c r="E301" s="12">
        <v>15.28</v>
      </c>
      <c r="F301" s="13">
        <f t="shared" si="17"/>
        <v>9.601160640430996E-2</v>
      </c>
    </row>
    <row r="302" spans="1:6" x14ac:dyDescent="0.25">
      <c r="A302" s="3" t="s">
        <v>277</v>
      </c>
      <c r="B302" s="10">
        <v>24878</v>
      </c>
      <c r="C302" s="23">
        <f t="shared" si="16"/>
        <v>1.0774034568029552E-2</v>
      </c>
      <c r="E302" s="12">
        <v>17.11</v>
      </c>
      <c r="F302" s="13">
        <f t="shared" si="17"/>
        <v>0.18434373145898564</v>
      </c>
    </row>
    <row r="303" spans="1:6" x14ac:dyDescent="0.25">
      <c r="A303" s="3" t="s">
        <v>278</v>
      </c>
      <c r="B303" s="10">
        <v>27741</v>
      </c>
      <c r="C303" s="23">
        <f t="shared" si="16"/>
        <v>1.2013927685171953E-2</v>
      </c>
      <c r="E303" s="12">
        <v>15.34</v>
      </c>
      <c r="F303" s="13">
        <f t="shared" si="17"/>
        <v>0.18429365069053774</v>
      </c>
    </row>
    <row r="304" spans="1:6" x14ac:dyDescent="0.25">
      <c r="A304" s="3" t="s">
        <v>279</v>
      </c>
      <c r="B304" s="10">
        <v>12671</v>
      </c>
      <c r="C304" s="23">
        <f t="shared" si="16"/>
        <v>5.4874906347577163E-3</v>
      </c>
      <c r="E304" s="12">
        <v>19.23</v>
      </c>
      <c r="F304" s="13">
        <f t="shared" si="17"/>
        <v>0.10552444490639089</v>
      </c>
    </row>
    <row r="305" spans="1:6" x14ac:dyDescent="0.25">
      <c r="A305" s="20" t="s">
        <v>0</v>
      </c>
      <c r="B305" s="21">
        <f>SUM(B268:B304)</f>
        <v>2309070</v>
      </c>
      <c r="C305" s="22">
        <f t="shared" si="16"/>
        <v>1</v>
      </c>
      <c r="D305" s="18"/>
      <c r="E305" s="18"/>
      <c r="F305" s="19">
        <f>SUM(F268:F304)</f>
        <v>18.833453489933174</v>
      </c>
    </row>
    <row r="308" spans="1:6" x14ac:dyDescent="0.25">
      <c r="A308" s="9" t="s">
        <v>947</v>
      </c>
    </row>
    <row r="309" spans="1:6" x14ac:dyDescent="0.25">
      <c r="A309" s="3" t="s">
        <v>280</v>
      </c>
      <c r="B309" s="10">
        <v>12976</v>
      </c>
      <c r="C309" s="11">
        <f t="shared" ref="C309:C315" si="18">B309/B$315</f>
        <v>0.15736687000497229</v>
      </c>
      <c r="E309" s="12">
        <v>30.04</v>
      </c>
      <c r="F309" s="13">
        <f t="shared" ref="F309:F314" si="19">E309*C309</f>
        <v>4.7273007749493674</v>
      </c>
    </row>
    <row r="310" spans="1:6" x14ac:dyDescent="0.25">
      <c r="A310" s="3" t="s">
        <v>281</v>
      </c>
      <c r="B310" s="10">
        <v>6797</v>
      </c>
      <c r="C310" s="11">
        <f t="shared" si="18"/>
        <v>8.2430842742277799E-2</v>
      </c>
      <c r="E310" s="12">
        <v>30.02</v>
      </c>
      <c r="F310" s="13">
        <f t="shared" si="19"/>
        <v>2.4745738991231794</v>
      </c>
    </row>
    <row r="311" spans="1:6" x14ac:dyDescent="0.25">
      <c r="A311" s="3" t="s">
        <v>282</v>
      </c>
      <c r="B311" s="10">
        <v>22054</v>
      </c>
      <c r="C311" s="11">
        <f t="shared" si="18"/>
        <v>0.26746061583613279</v>
      </c>
      <c r="E311" s="12">
        <v>27.69</v>
      </c>
      <c r="F311" s="13">
        <f t="shared" si="19"/>
        <v>7.4059844525025174</v>
      </c>
    </row>
    <row r="312" spans="1:6" x14ac:dyDescent="0.25">
      <c r="A312" s="3" t="s">
        <v>283</v>
      </c>
      <c r="B312" s="10">
        <v>7407</v>
      </c>
      <c r="C312" s="11">
        <f t="shared" si="18"/>
        <v>8.9828637956753221E-2</v>
      </c>
      <c r="E312" s="12">
        <v>28.81</v>
      </c>
      <c r="F312" s="13">
        <f t="shared" si="19"/>
        <v>2.5879630595340601</v>
      </c>
    </row>
    <row r="313" spans="1:6" x14ac:dyDescent="0.25">
      <c r="A313" s="3" t="s">
        <v>284</v>
      </c>
      <c r="B313" s="10">
        <v>9680</v>
      </c>
      <c r="C313" s="11">
        <f t="shared" si="18"/>
        <v>0.11739452078052803</v>
      </c>
      <c r="E313" s="12">
        <v>29.83</v>
      </c>
      <c r="F313" s="13">
        <f t="shared" si="19"/>
        <v>3.501878554883151</v>
      </c>
    </row>
    <row r="314" spans="1:6" x14ac:dyDescent="0.25">
      <c r="A314" s="3" t="s">
        <v>285</v>
      </c>
      <c r="B314" s="10">
        <v>23543</v>
      </c>
      <c r="C314" s="11">
        <f t="shared" si="18"/>
        <v>0.28551851267933592</v>
      </c>
      <c r="E314" s="12">
        <v>23.04</v>
      </c>
      <c r="F314" s="13">
        <f t="shared" si="19"/>
        <v>6.5783465321318992</v>
      </c>
    </row>
    <row r="315" spans="1:6" x14ac:dyDescent="0.25">
      <c r="A315" s="20" t="s">
        <v>0</v>
      </c>
      <c r="B315" s="21">
        <f>SUM(B309:B314)</f>
        <v>82457</v>
      </c>
      <c r="C315" s="22">
        <f t="shared" si="18"/>
        <v>1</v>
      </c>
      <c r="D315" s="18"/>
      <c r="E315" s="18"/>
      <c r="F315" s="19">
        <f>SUM(F309:F314)</f>
        <v>27.276047273124178</v>
      </c>
    </row>
    <row r="316" spans="1:6" x14ac:dyDescent="0.25">
      <c r="A316" s="17"/>
      <c r="B316" s="10"/>
      <c r="C316" s="26"/>
      <c r="F316" s="27"/>
    </row>
    <row r="318" spans="1:6" x14ac:dyDescent="0.25">
      <c r="A318" s="9" t="s">
        <v>948</v>
      </c>
    </row>
    <row r="319" spans="1:6" x14ac:dyDescent="0.25">
      <c r="A319" s="3" t="s">
        <v>286</v>
      </c>
      <c r="B319" s="10">
        <v>4729</v>
      </c>
      <c r="C319" s="11">
        <f>B319/B$344</f>
        <v>2.1238087539184249E-2</v>
      </c>
      <c r="E319" s="12">
        <v>15.97</v>
      </c>
      <c r="F319" s="13">
        <f t="shared" ref="F319:F343" si="20">E319*C319</f>
        <v>0.33917225800077244</v>
      </c>
    </row>
    <row r="320" spans="1:6" x14ac:dyDescent="0.25">
      <c r="A320" s="3" t="s">
        <v>287</v>
      </c>
      <c r="B320" s="10">
        <v>17759</v>
      </c>
      <c r="C320" s="11">
        <f t="shared" ref="C320:C343" si="21">B320/B$344</f>
        <v>7.9756226815050346E-2</v>
      </c>
      <c r="E320" s="12">
        <v>13.92</v>
      </c>
      <c r="F320" s="13">
        <f t="shared" si="20"/>
        <v>1.1102066772655008</v>
      </c>
    </row>
    <row r="321" spans="1:6" x14ac:dyDescent="0.25">
      <c r="A321" s="3" t="s">
        <v>288</v>
      </c>
      <c r="B321" s="10">
        <v>1712</v>
      </c>
      <c r="C321" s="11">
        <f t="shared" si="21"/>
        <v>7.6886457743885464E-3</v>
      </c>
      <c r="E321" s="12">
        <v>22.64</v>
      </c>
      <c r="F321" s="13">
        <f t="shared" si="20"/>
        <v>0.1740709403321567</v>
      </c>
    </row>
    <row r="322" spans="1:6" x14ac:dyDescent="0.25">
      <c r="A322" s="3" t="s">
        <v>289</v>
      </c>
      <c r="B322" s="10">
        <v>3644</v>
      </c>
      <c r="C322" s="11">
        <f t="shared" si="21"/>
        <v>1.6365318459037301E-2</v>
      </c>
      <c r="E322" s="12">
        <v>16.66</v>
      </c>
      <c r="F322" s="13">
        <f t="shared" si="20"/>
        <v>0.27264620552756147</v>
      </c>
    </row>
    <row r="323" spans="1:6" x14ac:dyDescent="0.25">
      <c r="A323" s="3" t="s">
        <v>290</v>
      </c>
      <c r="B323" s="10">
        <v>2531</v>
      </c>
      <c r="C323" s="11">
        <f t="shared" si="21"/>
        <v>1.1366800499402693E-2</v>
      </c>
      <c r="E323" s="12">
        <v>14.66</v>
      </c>
      <c r="F323" s="13">
        <f t="shared" si="20"/>
        <v>0.16663729532124347</v>
      </c>
    </row>
    <row r="324" spans="1:6" x14ac:dyDescent="0.25">
      <c r="A324" s="3" t="s">
        <v>291</v>
      </c>
      <c r="B324" s="10">
        <v>3738</v>
      </c>
      <c r="C324" s="11">
        <f t="shared" si="21"/>
        <v>1.6787475411603029E-2</v>
      </c>
      <c r="E324" s="12">
        <v>17.690000000000001</v>
      </c>
      <c r="F324" s="13">
        <f t="shared" si="20"/>
        <v>0.29697044003125761</v>
      </c>
    </row>
    <row r="325" spans="1:6" x14ac:dyDescent="0.25">
      <c r="A325" s="3" t="s">
        <v>292</v>
      </c>
      <c r="B325" s="10">
        <v>7764</v>
      </c>
      <c r="C325" s="11">
        <f t="shared" si="21"/>
        <v>3.4868367869364876E-2</v>
      </c>
      <c r="E325" s="12">
        <v>16.010000000000002</v>
      </c>
      <c r="F325" s="13">
        <f t="shared" si="20"/>
        <v>0.55824256958853169</v>
      </c>
    </row>
    <row r="326" spans="1:6" x14ac:dyDescent="0.25">
      <c r="A326" s="3" t="s">
        <v>293</v>
      </c>
      <c r="B326" s="10">
        <v>7013</v>
      </c>
      <c r="C326" s="11">
        <f t="shared" si="21"/>
        <v>3.1495603280249342E-2</v>
      </c>
      <c r="E326" s="12">
        <v>17.57</v>
      </c>
      <c r="F326" s="13">
        <f t="shared" si="20"/>
        <v>0.5533777496339809</v>
      </c>
    </row>
    <row r="327" spans="1:6" x14ac:dyDescent="0.25">
      <c r="A327" s="3" t="s">
        <v>294</v>
      </c>
      <c r="B327" s="10">
        <v>7237</v>
      </c>
      <c r="C327" s="11">
        <f t="shared" si="21"/>
        <v>3.2501594316150649E-2</v>
      </c>
      <c r="E327" s="12">
        <v>15.59</v>
      </c>
      <c r="F327" s="13">
        <f t="shared" si="20"/>
        <v>0.50669985538878859</v>
      </c>
    </row>
    <row r="328" spans="1:6" x14ac:dyDescent="0.25">
      <c r="A328" s="3" t="s">
        <v>295</v>
      </c>
      <c r="B328" s="10">
        <v>2887</v>
      </c>
      <c r="C328" s="11">
        <f t="shared" si="21"/>
        <v>1.2965607681460125E-2</v>
      </c>
      <c r="E328" s="12">
        <v>17.829999999999998</v>
      </c>
      <c r="F328" s="13">
        <f t="shared" si="20"/>
        <v>0.23117678496043401</v>
      </c>
    </row>
    <row r="329" spans="1:6" x14ac:dyDescent="0.25">
      <c r="A329" s="3" t="s">
        <v>296</v>
      </c>
      <c r="B329" s="10">
        <v>2915</v>
      </c>
      <c r="C329" s="11">
        <f t="shared" si="21"/>
        <v>1.3091356560947787E-2</v>
      </c>
      <c r="E329" s="12">
        <v>17.940000000000001</v>
      </c>
      <c r="F329" s="13">
        <f t="shared" si="20"/>
        <v>0.2348589367034033</v>
      </c>
    </row>
    <row r="330" spans="1:6" x14ac:dyDescent="0.25">
      <c r="A330" s="3" t="s">
        <v>297</v>
      </c>
      <c r="B330" s="10">
        <v>4745</v>
      </c>
      <c r="C330" s="11">
        <f t="shared" si="21"/>
        <v>2.130994404174863E-2</v>
      </c>
      <c r="E330" s="12">
        <v>19.64</v>
      </c>
      <c r="F330" s="13">
        <f t="shared" si="20"/>
        <v>0.41852730097994312</v>
      </c>
    </row>
    <row r="331" spans="1:6" x14ac:dyDescent="0.25">
      <c r="A331" s="3" t="s">
        <v>298</v>
      </c>
      <c r="B331" s="10">
        <v>64763</v>
      </c>
      <c r="C331" s="11">
        <f t="shared" si="21"/>
        <v>0.29085266722355457</v>
      </c>
      <c r="E331" s="12">
        <v>15.56</v>
      </c>
      <c r="F331" s="13">
        <f t="shared" si="20"/>
        <v>4.5256675019985089</v>
      </c>
    </row>
    <row r="332" spans="1:6" x14ac:dyDescent="0.25">
      <c r="A332" s="3" t="s">
        <v>299</v>
      </c>
      <c r="B332" s="10">
        <v>2436</v>
      </c>
      <c r="C332" s="11">
        <f t="shared" si="21"/>
        <v>1.0940152515426693E-2</v>
      </c>
      <c r="E332" s="12">
        <v>18.440000000000001</v>
      </c>
      <c r="F332" s="13">
        <f t="shared" si="20"/>
        <v>0.20173641238446821</v>
      </c>
    </row>
    <row r="333" spans="1:6" x14ac:dyDescent="0.25">
      <c r="A333" s="3" t="s">
        <v>300</v>
      </c>
      <c r="B333" s="10">
        <v>6451</v>
      </c>
      <c r="C333" s="11">
        <f t="shared" si="21"/>
        <v>2.8971643627675531E-2</v>
      </c>
      <c r="E333" s="12">
        <v>15.13</v>
      </c>
      <c r="F333" s="13">
        <f t="shared" si="20"/>
        <v>0.43834096808673079</v>
      </c>
    </row>
    <row r="334" spans="1:6" x14ac:dyDescent="0.25">
      <c r="A334" s="3" t="s">
        <v>301</v>
      </c>
      <c r="B334" s="10">
        <v>4027</v>
      </c>
      <c r="C334" s="11">
        <f t="shared" si="21"/>
        <v>1.8085383489172123E-2</v>
      </c>
      <c r="E334" s="12">
        <v>19.28</v>
      </c>
      <c r="F334" s="13">
        <f t="shared" si="20"/>
        <v>0.34868619367123854</v>
      </c>
    </row>
    <row r="335" spans="1:6" x14ac:dyDescent="0.25">
      <c r="A335" s="3" t="s">
        <v>302</v>
      </c>
      <c r="B335" s="10">
        <v>2664</v>
      </c>
      <c r="C335" s="11">
        <f t="shared" si="21"/>
        <v>1.1964107676969093E-2</v>
      </c>
      <c r="E335" s="12">
        <v>16.23</v>
      </c>
      <c r="F335" s="13">
        <f t="shared" si="20"/>
        <v>0.19417746759720839</v>
      </c>
    </row>
    <row r="336" spans="1:6" x14ac:dyDescent="0.25">
      <c r="A336" s="3" t="s">
        <v>303</v>
      </c>
      <c r="B336" s="10">
        <v>5700</v>
      </c>
      <c r="C336" s="11">
        <f t="shared" si="21"/>
        <v>2.5598879038559997E-2</v>
      </c>
      <c r="E336" s="12">
        <v>19.09</v>
      </c>
      <c r="F336" s="13">
        <f t="shared" si="20"/>
        <v>0.48868260084611032</v>
      </c>
    </row>
    <row r="337" spans="1:6" x14ac:dyDescent="0.25">
      <c r="A337" s="3" t="s">
        <v>304</v>
      </c>
      <c r="B337" s="10">
        <v>10357</v>
      </c>
      <c r="C337" s="11">
        <f t="shared" si="21"/>
        <v>4.6513612316204538E-2</v>
      </c>
      <c r="E337" s="12">
        <v>14.91</v>
      </c>
      <c r="F337" s="13">
        <f t="shared" si="20"/>
        <v>0.69351795963460972</v>
      </c>
    </row>
    <row r="338" spans="1:6" x14ac:dyDescent="0.25">
      <c r="A338" s="3" t="s">
        <v>305</v>
      </c>
      <c r="B338" s="10">
        <v>5157</v>
      </c>
      <c r="C338" s="11">
        <f t="shared" si="21"/>
        <v>2.3160248982781385E-2</v>
      </c>
      <c r="E338" s="12">
        <v>16.36</v>
      </c>
      <c r="F338" s="13">
        <f t="shared" si="20"/>
        <v>0.37890167335830344</v>
      </c>
    </row>
    <row r="339" spans="1:6" x14ac:dyDescent="0.25">
      <c r="A339" s="3" t="s">
        <v>306</v>
      </c>
      <c r="B339" s="10">
        <v>13349</v>
      </c>
      <c r="C339" s="11">
        <f t="shared" si="21"/>
        <v>5.9950778295743398E-2</v>
      </c>
      <c r="E339" s="12">
        <v>16.78</v>
      </c>
      <c r="F339" s="13">
        <f t="shared" si="20"/>
        <v>1.0059740598025744</v>
      </c>
    </row>
    <row r="340" spans="1:6" x14ac:dyDescent="0.25">
      <c r="A340" s="3" t="s">
        <v>307</v>
      </c>
      <c r="B340" s="10">
        <v>22316</v>
      </c>
      <c r="C340" s="11">
        <f t="shared" si="21"/>
        <v>0.10022185695166752</v>
      </c>
      <c r="E340" s="12">
        <v>14.54</v>
      </c>
      <c r="F340" s="13">
        <f t="shared" si="20"/>
        <v>1.4572258000772456</v>
      </c>
    </row>
    <row r="341" spans="1:6" x14ac:dyDescent="0.25">
      <c r="A341" s="3" t="s">
        <v>308</v>
      </c>
      <c r="B341" s="10">
        <v>4233</v>
      </c>
      <c r="C341" s="11">
        <f t="shared" si="21"/>
        <v>1.9010535959688501E-2</v>
      </c>
      <c r="E341" s="12">
        <v>18.399999999999999</v>
      </c>
      <c r="F341" s="13">
        <f t="shared" si="20"/>
        <v>0.34979386165826837</v>
      </c>
    </row>
    <row r="342" spans="1:6" x14ac:dyDescent="0.25">
      <c r="A342" s="3" t="s">
        <v>309</v>
      </c>
      <c r="B342" s="10">
        <v>9749</v>
      </c>
      <c r="C342" s="11">
        <f t="shared" si="21"/>
        <v>4.378306521875814E-2</v>
      </c>
      <c r="E342" s="12">
        <v>15.72</v>
      </c>
      <c r="F342" s="13">
        <f t="shared" si="20"/>
        <v>0.68826978523887794</v>
      </c>
    </row>
    <row r="343" spans="1:6" x14ac:dyDescent="0.25">
      <c r="A343" s="3" t="s">
        <v>310</v>
      </c>
      <c r="B343" s="10">
        <v>4790</v>
      </c>
      <c r="C343" s="11">
        <f t="shared" si="21"/>
        <v>2.1512040455210945E-2</v>
      </c>
      <c r="E343" s="12">
        <v>17.89</v>
      </c>
      <c r="F343" s="13">
        <f t="shared" si="20"/>
        <v>0.38485040374372381</v>
      </c>
    </row>
    <row r="344" spans="1:6" x14ac:dyDescent="0.25">
      <c r="A344" s="20" t="s">
        <v>0</v>
      </c>
      <c r="B344" s="21">
        <f>SUM(B319:B343)</f>
        <v>222666</v>
      </c>
      <c r="C344" s="22">
        <f>B344/B$344</f>
        <v>1</v>
      </c>
      <c r="D344" s="18"/>
      <c r="E344" s="18"/>
      <c r="F344" s="19">
        <f>SUM(F319:F343)</f>
        <v>16.01841170183144</v>
      </c>
    </row>
    <row r="347" spans="1:6" x14ac:dyDescent="0.25">
      <c r="A347" s="9" t="s">
        <v>949</v>
      </c>
    </row>
    <row r="348" spans="1:6" x14ac:dyDescent="0.25">
      <c r="A348" s="3" t="s">
        <v>311</v>
      </c>
      <c r="B348" s="10">
        <v>10365</v>
      </c>
      <c r="C348" s="11">
        <f t="shared" ref="C348:C362" si="22">B348/B$364</f>
        <v>2.9564617157461181E-2</v>
      </c>
      <c r="E348" s="12">
        <v>17.37</v>
      </c>
      <c r="F348" s="13">
        <f t="shared" ref="F348:F363" si="23">E348*C348</f>
        <v>0.51353740002510073</v>
      </c>
    </row>
    <row r="349" spans="1:6" x14ac:dyDescent="0.25">
      <c r="A349" s="3" t="s">
        <v>312</v>
      </c>
      <c r="B349" s="10">
        <v>54808</v>
      </c>
      <c r="C349" s="11">
        <f t="shared" si="22"/>
        <v>0.15633164854473056</v>
      </c>
      <c r="E349" s="12">
        <v>15.95</v>
      </c>
      <c r="F349" s="13">
        <f t="shared" si="23"/>
        <v>2.4934897942884522</v>
      </c>
    </row>
    <row r="350" spans="1:6" x14ac:dyDescent="0.25">
      <c r="A350" s="3" t="s">
        <v>313</v>
      </c>
      <c r="B350" s="10">
        <v>8611</v>
      </c>
      <c r="C350" s="11">
        <f t="shared" si="22"/>
        <v>2.4561593665499103E-2</v>
      </c>
      <c r="E350" s="12">
        <v>18.809999999999999</v>
      </c>
      <c r="F350" s="13">
        <f t="shared" si="23"/>
        <v>0.46200357684803811</v>
      </c>
    </row>
    <row r="351" spans="1:6" x14ac:dyDescent="0.25">
      <c r="A351" s="3" t="s">
        <v>314</v>
      </c>
      <c r="B351" s="10">
        <v>15407</v>
      </c>
      <c r="C351" s="11">
        <f t="shared" si="22"/>
        <v>4.3946170433671432E-2</v>
      </c>
      <c r="E351" s="12">
        <v>17.63</v>
      </c>
      <c r="F351" s="13">
        <f t="shared" si="23"/>
        <v>0.77477098474562733</v>
      </c>
    </row>
    <row r="352" spans="1:6" x14ac:dyDescent="0.25">
      <c r="A352" s="3" t="s">
        <v>315</v>
      </c>
      <c r="B352" s="10">
        <v>75089</v>
      </c>
      <c r="C352" s="11">
        <f t="shared" si="22"/>
        <v>0.21418017730213243</v>
      </c>
      <c r="E352" s="12">
        <v>14.33</v>
      </c>
      <c r="F352" s="13">
        <f t="shared" si="23"/>
        <v>3.0692019407395579</v>
      </c>
    </row>
    <row r="353" spans="1:6" x14ac:dyDescent="0.25">
      <c r="A353" s="3" t="s">
        <v>316</v>
      </c>
      <c r="B353" s="10">
        <v>7660</v>
      </c>
      <c r="C353" s="11">
        <f t="shared" si="22"/>
        <v>2.1849007952354331E-2</v>
      </c>
      <c r="E353" s="12">
        <v>17.2</v>
      </c>
      <c r="F353" s="13">
        <f t="shared" si="23"/>
        <v>0.37580293678049448</v>
      </c>
    </row>
    <row r="354" spans="1:6" x14ac:dyDescent="0.25">
      <c r="A354" s="3" t="s">
        <v>317</v>
      </c>
      <c r="B354" s="10">
        <v>11004</v>
      </c>
      <c r="C354" s="11">
        <f t="shared" si="22"/>
        <v>3.1387269387429119E-2</v>
      </c>
      <c r="E354" s="12">
        <v>19.93</v>
      </c>
      <c r="F354" s="13">
        <f t="shared" si="23"/>
        <v>0.62554827889146236</v>
      </c>
    </row>
    <row r="355" spans="1:6" x14ac:dyDescent="0.25">
      <c r="A355" s="3" t="s">
        <v>318</v>
      </c>
      <c r="B355" s="10">
        <v>17290</v>
      </c>
      <c r="C355" s="11">
        <f t="shared" si="22"/>
        <v>4.9317147192716237E-2</v>
      </c>
      <c r="E355" s="12">
        <v>18.96</v>
      </c>
      <c r="F355" s="13">
        <f t="shared" si="23"/>
        <v>0.93505311077389985</v>
      </c>
    </row>
    <row r="356" spans="1:6" x14ac:dyDescent="0.25">
      <c r="A356" s="3" t="s">
        <v>319</v>
      </c>
      <c r="B356" s="10">
        <v>13401</v>
      </c>
      <c r="C356" s="11">
        <f t="shared" si="22"/>
        <v>3.8224354512989604E-2</v>
      </c>
      <c r="E356" s="12">
        <v>18.989999999999998</v>
      </c>
      <c r="F356" s="13">
        <f t="shared" si="23"/>
        <v>0.7258804922016725</v>
      </c>
    </row>
    <row r="357" spans="1:6" x14ac:dyDescent="0.25">
      <c r="A357" s="3" t="s">
        <v>320</v>
      </c>
      <c r="B357" s="10">
        <v>35423</v>
      </c>
      <c r="C357" s="11">
        <f t="shared" si="22"/>
        <v>0.1010388262005545</v>
      </c>
      <c r="E357" s="12">
        <v>16.68</v>
      </c>
      <c r="F357" s="13">
        <f t="shared" si="23"/>
        <v>1.685327621025249</v>
      </c>
    </row>
    <row r="358" spans="1:6" x14ac:dyDescent="0.25">
      <c r="A358" s="3" t="s">
        <v>321</v>
      </c>
      <c r="B358" s="10">
        <v>40594</v>
      </c>
      <c r="C358" s="11">
        <f t="shared" si="22"/>
        <v>0.11578833274384748</v>
      </c>
      <c r="E358" s="12">
        <v>14.46</v>
      </c>
      <c r="F358" s="13">
        <f t="shared" si="23"/>
        <v>1.6742992914760346</v>
      </c>
    </row>
    <row r="359" spans="1:6" x14ac:dyDescent="0.25">
      <c r="A359" s="3" t="s">
        <v>322</v>
      </c>
      <c r="B359" s="10">
        <v>16614</v>
      </c>
      <c r="C359" s="11">
        <f t="shared" si="22"/>
        <v>4.7388957979166431E-2</v>
      </c>
      <c r="E359" s="12">
        <v>17.489999999999998</v>
      </c>
      <c r="F359" s="13">
        <f t="shared" si="23"/>
        <v>0.82883287505562075</v>
      </c>
    </row>
    <row r="360" spans="1:6" x14ac:dyDescent="0.25">
      <c r="A360" s="3" t="s">
        <v>323</v>
      </c>
      <c r="B360" s="10">
        <v>9364</v>
      </c>
      <c r="C360" s="11">
        <f t="shared" si="22"/>
        <v>2.6709413898935504E-2</v>
      </c>
      <c r="E360" s="12">
        <v>17.489999999999998</v>
      </c>
      <c r="F360" s="13">
        <f t="shared" si="23"/>
        <v>0.46714764909238193</v>
      </c>
    </row>
    <row r="361" spans="1:6" x14ac:dyDescent="0.25">
      <c r="A361" s="3" t="s">
        <v>324</v>
      </c>
      <c r="B361" s="10">
        <v>17238</v>
      </c>
      <c r="C361" s="11">
        <f t="shared" si="22"/>
        <v>4.91688249455201E-2</v>
      </c>
      <c r="E361" s="12">
        <v>18.739999999999998</v>
      </c>
      <c r="F361" s="13">
        <f t="shared" si="23"/>
        <v>0.92142377947904663</v>
      </c>
    </row>
    <row r="362" spans="1:6" x14ac:dyDescent="0.25">
      <c r="A362" s="3" t="s">
        <v>325</v>
      </c>
      <c r="B362" s="10">
        <v>8363</v>
      </c>
      <c r="C362" s="11">
        <f t="shared" si="22"/>
        <v>2.3854210640409827E-2</v>
      </c>
      <c r="E362" s="12">
        <v>19.28</v>
      </c>
      <c r="F362" s="13">
        <f t="shared" si="23"/>
        <v>0.4599091811471015</v>
      </c>
    </row>
    <row r="363" spans="1:6" x14ac:dyDescent="0.25">
      <c r="A363" s="3" t="s">
        <v>326</v>
      </c>
      <c r="B363" s="10">
        <v>9357</v>
      </c>
      <c r="C363" s="11">
        <f>B363/B$364</f>
        <v>2.6689447442582177E-2</v>
      </c>
      <c r="E363" s="12">
        <v>19.28</v>
      </c>
      <c r="F363" s="13">
        <f t="shared" si="23"/>
        <v>0.51457254669298436</v>
      </c>
    </row>
    <row r="364" spans="1:6" x14ac:dyDescent="0.25">
      <c r="A364" s="20" t="s">
        <v>0</v>
      </c>
      <c r="B364" s="21">
        <f>SUM(B348:B363)</f>
        <v>350588</v>
      </c>
      <c r="C364" s="22">
        <f>B364/B$364</f>
        <v>1</v>
      </c>
      <c r="D364" s="18"/>
      <c r="E364" s="18"/>
      <c r="F364" s="19">
        <f>SUM(F348:F363)</f>
        <v>16.526801459262725</v>
      </c>
    </row>
    <row r="367" spans="1:6" x14ac:dyDescent="0.25">
      <c r="A367" s="9" t="s">
        <v>950</v>
      </c>
    </row>
    <row r="368" spans="1:6" x14ac:dyDescent="0.25">
      <c r="A368" s="3" t="s">
        <v>327</v>
      </c>
      <c r="B368" s="10">
        <v>9951</v>
      </c>
      <c r="C368" s="11">
        <f t="shared" ref="C368:C380" si="24">B368/B$380</f>
        <v>0.10198099962081228</v>
      </c>
      <c r="E368" s="12">
        <v>19.649999999999999</v>
      </c>
      <c r="F368" s="13">
        <f t="shared" ref="F368:F379" si="25">E368*C368</f>
        <v>2.003926642548961</v>
      </c>
    </row>
    <row r="369" spans="1:6" x14ac:dyDescent="0.25">
      <c r="A369" s="3" t="s">
        <v>328</v>
      </c>
      <c r="B369" s="10">
        <v>5013</v>
      </c>
      <c r="C369" s="11">
        <f t="shared" si="24"/>
        <v>5.1374811687180381E-2</v>
      </c>
      <c r="E369" s="12">
        <v>21.43</v>
      </c>
      <c r="F369" s="13">
        <f t="shared" si="25"/>
        <v>1.1009622144562756</v>
      </c>
    </row>
    <row r="370" spans="1:6" x14ac:dyDescent="0.25">
      <c r="A370" s="3" t="s">
        <v>329</v>
      </c>
      <c r="B370" s="10">
        <v>7577</v>
      </c>
      <c r="C370" s="11">
        <f t="shared" si="24"/>
        <v>7.7651495741824408E-2</v>
      </c>
      <c r="E370" s="12">
        <v>18.920000000000002</v>
      </c>
      <c r="F370" s="13">
        <f t="shared" si="25"/>
        <v>1.4691662994353178</v>
      </c>
    </row>
    <row r="371" spans="1:6" x14ac:dyDescent="0.25">
      <c r="A371" s="3" t="s">
        <v>330</v>
      </c>
      <c r="B371" s="10">
        <v>3493</v>
      </c>
      <c r="C371" s="11">
        <f t="shared" si="24"/>
        <v>3.5797370281931196E-2</v>
      </c>
      <c r="E371" s="12">
        <v>21.55</v>
      </c>
      <c r="F371" s="13">
        <f t="shared" si="25"/>
        <v>0.77143332957561728</v>
      </c>
    </row>
    <row r="372" spans="1:6" x14ac:dyDescent="0.25">
      <c r="A372" s="3" t="s">
        <v>331</v>
      </c>
      <c r="B372" s="10">
        <v>13977</v>
      </c>
      <c r="C372" s="11">
        <f t="shared" si="24"/>
        <v>0.14324072271129468</v>
      </c>
      <c r="E372" s="12">
        <v>17.04</v>
      </c>
      <c r="F372" s="13">
        <f t="shared" si="25"/>
        <v>2.4408219150004613</v>
      </c>
    </row>
    <row r="373" spans="1:6" x14ac:dyDescent="0.25">
      <c r="A373" s="3" t="s">
        <v>332</v>
      </c>
      <c r="B373" s="10">
        <v>3078</v>
      </c>
      <c r="C373" s="11">
        <f t="shared" si="24"/>
        <v>3.1544318845629603E-2</v>
      </c>
      <c r="E373" s="12">
        <v>21.09</v>
      </c>
      <c r="F373" s="13">
        <f t="shared" si="25"/>
        <v>0.66526968445432832</v>
      </c>
    </row>
    <row r="374" spans="1:6" x14ac:dyDescent="0.25">
      <c r="A374" s="3" t="s">
        <v>333</v>
      </c>
      <c r="B374" s="10">
        <v>10319</v>
      </c>
      <c r="C374" s="11">
        <f t="shared" si="24"/>
        <v>0.10575238017155682</v>
      </c>
      <c r="E374" s="12">
        <v>20.79</v>
      </c>
      <c r="F374" s="13">
        <f t="shared" si="25"/>
        <v>2.1985919837666663</v>
      </c>
    </row>
    <row r="375" spans="1:6" x14ac:dyDescent="0.25">
      <c r="A375" s="3" t="s">
        <v>334</v>
      </c>
      <c r="B375" s="10">
        <v>6800</v>
      </c>
      <c r="C375" s="11">
        <f t="shared" si="24"/>
        <v>6.9688553655062158E-2</v>
      </c>
      <c r="E375" s="12">
        <v>20.100000000000001</v>
      </c>
      <c r="F375" s="13">
        <f t="shared" si="25"/>
        <v>1.4007399284667494</v>
      </c>
    </row>
    <row r="376" spans="1:6" x14ac:dyDescent="0.25">
      <c r="A376" s="3" t="s">
        <v>335</v>
      </c>
      <c r="B376" s="10">
        <v>16097</v>
      </c>
      <c r="C376" s="11">
        <f t="shared" si="24"/>
        <v>0.16496715414493168</v>
      </c>
      <c r="E376" s="12">
        <v>17.850000000000001</v>
      </c>
      <c r="F376" s="13">
        <f t="shared" si="25"/>
        <v>2.9446637014870309</v>
      </c>
    </row>
    <row r="377" spans="1:6" x14ac:dyDescent="0.25">
      <c r="A377" s="3" t="s">
        <v>336</v>
      </c>
      <c r="B377" s="10">
        <v>2475</v>
      </c>
      <c r="C377" s="11">
        <f t="shared" si="24"/>
        <v>2.5364583867099829E-2</v>
      </c>
      <c r="E377" s="12">
        <v>20.41</v>
      </c>
      <c r="F377" s="13">
        <f t="shared" si="25"/>
        <v>0.51769115672750754</v>
      </c>
    </row>
    <row r="378" spans="1:6" x14ac:dyDescent="0.25">
      <c r="A378" s="3" t="s">
        <v>337</v>
      </c>
      <c r="B378" s="10">
        <v>8517</v>
      </c>
      <c r="C378" s="11">
        <f t="shared" si="24"/>
        <v>8.7284913452965351E-2</v>
      </c>
      <c r="E378" s="12">
        <v>19.48</v>
      </c>
      <c r="F378" s="13">
        <f t="shared" si="25"/>
        <v>1.7003101140637651</v>
      </c>
    </row>
    <row r="379" spans="1:6" x14ac:dyDescent="0.25">
      <c r="A379" s="3" t="s">
        <v>338</v>
      </c>
      <c r="B379" s="10">
        <v>10280</v>
      </c>
      <c r="C379" s="11">
        <f t="shared" si="24"/>
        <v>0.10535269581971161</v>
      </c>
      <c r="E379" s="12">
        <v>22.52</v>
      </c>
      <c r="F379" s="13">
        <f t="shared" si="25"/>
        <v>2.3725427098599057</v>
      </c>
    </row>
    <row r="380" spans="1:6" x14ac:dyDescent="0.25">
      <c r="A380" s="20" t="s">
        <v>0</v>
      </c>
      <c r="B380" s="21">
        <f>SUM(B368:B379)</f>
        <v>97577</v>
      </c>
      <c r="C380" s="22">
        <f t="shared" si="24"/>
        <v>1</v>
      </c>
      <c r="D380" s="18"/>
      <c r="E380" s="18"/>
      <c r="F380" s="19">
        <f>SUM(F368:F379)</f>
        <v>19.586119679842589</v>
      </c>
    </row>
    <row r="383" spans="1:6" x14ac:dyDescent="0.25">
      <c r="A383" s="9" t="s">
        <v>951</v>
      </c>
    </row>
    <row r="384" spans="1:6" x14ac:dyDescent="0.25">
      <c r="A384" s="3" t="s">
        <v>339</v>
      </c>
      <c r="B384" s="10">
        <v>1892122</v>
      </c>
      <c r="C384" s="23">
        <f t="shared" ref="C384:C439" si="26">B384/B$492</f>
        <v>0.50566633144825313</v>
      </c>
      <c r="E384" s="12">
        <v>11.81</v>
      </c>
      <c r="F384" s="13">
        <f t="shared" ref="F384:F448" si="27">E384*C384</f>
        <v>5.9719193744038694</v>
      </c>
    </row>
    <row r="385" spans="1:6" x14ac:dyDescent="0.25">
      <c r="A385" s="3" t="s">
        <v>340</v>
      </c>
      <c r="B385" s="10">
        <v>10885</v>
      </c>
      <c r="C385" s="23">
        <f t="shared" si="26"/>
        <v>2.9089974207869448E-3</v>
      </c>
      <c r="E385" s="12">
        <v>25.24</v>
      </c>
      <c r="F385" s="13">
        <f t="shared" si="27"/>
        <v>7.3423094900662483E-2</v>
      </c>
    </row>
    <row r="386" spans="1:6" x14ac:dyDescent="0.25">
      <c r="A386" s="3" t="s">
        <v>341</v>
      </c>
      <c r="B386" s="10">
        <v>32258</v>
      </c>
      <c r="C386" s="23">
        <f t="shared" si="26"/>
        <v>8.6208946991038361E-3</v>
      </c>
      <c r="E386" s="12">
        <v>21.66</v>
      </c>
      <c r="F386" s="13">
        <f t="shared" si="27"/>
        <v>0.18672857918258909</v>
      </c>
    </row>
    <row r="387" spans="1:6" x14ac:dyDescent="0.25">
      <c r="A387" s="3" t="s">
        <v>342</v>
      </c>
      <c r="B387" s="10">
        <v>4369</v>
      </c>
      <c r="C387" s="23">
        <f t="shared" si="26"/>
        <v>1.1676076923673093E-3</v>
      </c>
      <c r="E387" s="12">
        <v>24.37</v>
      </c>
      <c r="F387" s="13">
        <f t="shared" si="27"/>
        <v>2.845459946299133E-2</v>
      </c>
    </row>
    <row r="388" spans="1:6" x14ac:dyDescent="0.25">
      <c r="A388" s="3" t="s">
        <v>343</v>
      </c>
      <c r="B388" s="10">
        <v>8840</v>
      </c>
      <c r="C388" s="23">
        <f t="shared" si="26"/>
        <v>2.3624747082918317E-3</v>
      </c>
      <c r="E388" s="12">
        <v>24.4</v>
      </c>
      <c r="F388" s="13">
        <f t="shared" si="27"/>
        <v>5.764438288232069E-2</v>
      </c>
    </row>
    <row r="389" spans="1:6" x14ac:dyDescent="0.25">
      <c r="A389" s="3" t="s">
        <v>344</v>
      </c>
      <c r="B389" s="10">
        <v>15998</v>
      </c>
      <c r="C389" s="23">
        <f t="shared" si="26"/>
        <v>4.2754378261598107E-3</v>
      </c>
      <c r="E389" s="12">
        <v>25.2</v>
      </c>
      <c r="F389" s="13">
        <f t="shared" si="27"/>
        <v>0.10774103321922722</v>
      </c>
    </row>
    <row r="390" spans="1:6" x14ac:dyDescent="0.25">
      <c r="A390" s="3" t="s">
        <v>345</v>
      </c>
      <c r="B390" s="10">
        <v>10381</v>
      </c>
      <c r="C390" s="23">
        <f t="shared" si="26"/>
        <v>2.7743042926218898E-3</v>
      </c>
      <c r="E390" s="12">
        <v>25.2</v>
      </c>
      <c r="F390" s="13">
        <f t="shared" si="27"/>
        <v>6.9912468174071624E-2</v>
      </c>
    </row>
    <row r="391" spans="1:6" x14ac:dyDescent="0.25">
      <c r="A391" s="3" t="s">
        <v>346</v>
      </c>
      <c r="B391" s="10">
        <v>9303</v>
      </c>
      <c r="C391" s="23">
        <f t="shared" si="26"/>
        <v>2.4862106573799673E-3</v>
      </c>
      <c r="E391" s="12">
        <v>26.57</v>
      </c>
      <c r="F391" s="13">
        <f t="shared" si="27"/>
        <v>6.6058617166585731E-2</v>
      </c>
    </row>
    <row r="392" spans="1:6" x14ac:dyDescent="0.25">
      <c r="A392" s="3" t="s">
        <v>347</v>
      </c>
      <c r="B392" s="10">
        <v>10887</v>
      </c>
      <c r="C392" s="23">
        <f t="shared" si="26"/>
        <v>2.9095319173272822E-3</v>
      </c>
      <c r="E392" s="12">
        <v>28.66</v>
      </c>
      <c r="F392" s="13">
        <f t="shared" si="27"/>
        <v>8.3387184750599905E-2</v>
      </c>
    </row>
    <row r="393" spans="1:6" x14ac:dyDescent="0.25">
      <c r="A393" s="3" t="s">
        <v>348</v>
      </c>
      <c r="B393" s="10">
        <v>6527</v>
      </c>
      <c r="C393" s="23">
        <f t="shared" si="26"/>
        <v>1.7443294593914916E-3</v>
      </c>
      <c r="E393" s="12">
        <v>26.14</v>
      </c>
      <c r="F393" s="13">
        <f t="shared" si="27"/>
        <v>4.5596772068493593E-2</v>
      </c>
    </row>
    <row r="394" spans="1:6" x14ac:dyDescent="0.25">
      <c r="A394" s="3" t="s">
        <v>349</v>
      </c>
      <c r="B394" s="10">
        <v>22971</v>
      </c>
      <c r="C394" s="23">
        <f t="shared" si="26"/>
        <v>6.1389600140465692E-3</v>
      </c>
      <c r="E394" s="12">
        <v>28</v>
      </c>
      <c r="F394" s="13">
        <f t="shared" si="27"/>
        <v>0.17189088039330394</v>
      </c>
    </row>
    <row r="395" spans="1:6" x14ac:dyDescent="0.25">
      <c r="A395" s="3" t="s">
        <v>350</v>
      </c>
      <c r="B395" s="10">
        <v>10630</v>
      </c>
      <c r="C395" s="23">
        <f t="shared" si="26"/>
        <v>2.8408491118939111E-3</v>
      </c>
      <c r="E395" s="12">
        <v>21.55</v>
      </c>
      <c r="F395" s="13">
        <f t="shared" si="27"/>
        <v>6.1220298361313784E-2</v>
      </c>
    </row>
    <row r="396" spans="1:6" x14ac:dyDescent="0.25">
      <c r="A396" s="3" t="s">
        <v>351</v>
      </c>
      <c r="B396" s="10">
        <v>4593</v>
      </c>
      <c r="C396" s="23">
        <f t="shared" si="26"/>
        <v>1.2274713048851112E-3</v>
      </c>
      <c r="E396" s="12">
        <v>17.510000000000002</v>
      </c>
      <c r="F396" s="13">
        <f t="shared" si="27"/>
        <v>2.1493022548538299E-2</v>
      </c>
    </row>
    <row r="397" spans="1:6" x14ac:dyDescent="0.25">
      <c r="A397" s="3" t="s">
        <v>352</v>
      </c>
      <c r="B397" s="10">
        <v>50772</v>
      </c>
      <c r="C397" s="23">
        <f t="shared" si="26"/>
        <v>1.3568729173008245E-2</v>
      </c>
      <c r="E397" s="12">
        <v>21.5</v>
      </c>
      <c r="F397" s="13">
        <f t="shared" si="27"/>
        <v>0.29172767721967724</v>
      </c>
    </row>
    <row r="398" spans="1:6" x14ac:dyDescent="0.25">
      <c r="A398" s="3" t="s">
        <v>353</v>
      </c>
      <c r="B398" s="10">
        <v>17978</v>
      </c>
      <c r="C398" s="23">
        <f t="shared" si="26"/>
        <v>4.8045894010939538E-3</v>
      </c>
      <c r="E398" s="12">
        <v>17.920000000000002</v>
      </c>
      <c r="F398" s="13">
        <f t="shared" si="27"/>
        <v>8.6098242067603664E-2</v>
      </c>
    </row>
    <row r="399" spans="1:6" x14ac:dyDescent="0.25">
      <c r="A399" s="3" t="s">
        <v>354</v>
      </c>
      <c r="B399" s="10">
        <v>3823</v>
      </c>
      <c r="C399" s="23">
        <f t="shared" si="26"/>
        <v>1.0216901368551668E-3</v>
      </c>
      <c r="E399" s="12">
        <v>19.48</v>
      </c>
      <c r="F399" s="13">
        <f t="shared" si="27"/>
        <v>1.9902523865938649E-2</v>
      </c>
    </row>
    <row r="400" spans="1:6" s="28" customFormat="1" x14ac:dyDescent="0.25">
      <c r="A400" s="28" t="s">
        <v>355</v>
      </c>
      <c r="B400" s="29"/>
      <c r="C400" s="30">
        <f t="shared" si="26"/>
        <v>0</v>
      </c>
      <c r="E400" s="12"/>
      <c r="F400" s="13">
        <f t="shared" si="27"/>
        <v>0</v>
      </c>
    </row>
    <row r="401" spans="1:6" x14ac:dyDescent="0.25">
      <c r="A401" s="3" t="s">
        <v>356</v>
      </c>
      <c r="B401" s="10">
        <v>44279</v>
      </c>
      <c r="C401" s="23">
        <f t="shared" si="26"/>
        <v>1.1833486154802491E-2</v>
      </c>
      <c r="E401" s="12">
        <v>19.100000000000001</v>
      </c>
      <c r="F401" s="13">
        <f t="shared" si="27"/>
        <v>0.2260195855567276</v>
      </c>
    </row>
    <row r="402" spans="1:6" x14ac:dyDescent="0.25">
      <c r="A402" s="3" t="s">
        <v>357</v>
      </c>
      <c r="B402" s="10">
        <v>22165</v>
      </c>
      <c r="C402" s="23">
        <f t="shared" si="26"/>
        <v>5.923557908290549E-3</v>
      </c>
      <c r="E402" s="12">
        <v>21.63</v>
      </c>
      <c r="F402" s="13">
        <f t="shared" si="27"/>
        <v>0.12812655755632457</v>
      </c>
    </row>
    <row r="403" spans="1:6" x14ac:dyDescent="0.25">
      <c r="A403" s="3" t="s">
        <v>358</v>
      </c>
      <c r="B403" s="10">
        <v>14725</v>
      </c>
      <c r="C403" s="23">
        <f t="shared" si="26"/>
        <v>3.9352307782349804E-3</v>
      </c>
      <c r="E403" s="12">
        <v>18.43</v>
      </c>
      <c r="F403" s="13">
        <f t="shared" si="27"/>
        <v>7.2526303242870682E-2</v>
      </c>
    </row>
    <row r="404" spans="1:6" x14ac:dyDescent="0.25">
      <c r="A404" s="3" t="s">
        <v>359</v>
      </c>
      <c r="B404" s="10">
        <v>19707</v>
      </c>
      <c r="C404" s="23">
        <f t="shared" si="26"/>
        <v>5.2666616602157386E-3</v>
      </c>
      <c r="E404" s="12">
        <v>17.03</v>
      </c>
      <c r="F404" s="13">
        <f t="shared" si="27"/>
        <v>8.9691248073474034E-2</v>
      </c>
    </row>
    <row r="405" spans="1:6" x14ac:dyDescent="0.25">
      <c r="A405" s="3" t="s">
        <v>360</v>
      </c>
      <c r="B405" s="10">
        <v>14350</v>
      </c>
      <c r="C405" s="23">
        <f t="shared" si="26"/>
        <v>3.8350126769216954E-3</v>
      </c>
      <c r="E405" s="12">
        <v>21.61</v>
      </c>
      <c r="F405" s="13">
        <f t="shared" si="27"/>
        <v>8.287462394827784E-2</v>
      </c>
    </row>
    <row r="406" spans="1:6" x14ac:dyDescent="0.25">
      <c r="A406" s="3" t="s">
        <v>361</v>
      </c>
      <c r="B406" s="10">
        <v>18618</v>
      </c>
      <c r="C406" s="23">
        <f t="shared" si="26"/>
        <v>4.9756282940019601E-3</v>
      </c>
      <c r="E406" s="12">
        <v>19.62</v>
      </c>
      <c r="F406" s="13">
        <f t="shared" si="27"/>
        <v>9.7621827128318461E-2</v>
      </c>
    </row>
    <row r="407" spans="1:6" x14ac:dyDescent="0.25">
      <c r="A407" s="3" t="s">
        <v>362</v>
      </c>
      <c r="B407" s="10">
        <v>34538</v>
      </c>
      <c r="C407" s="23">
        <f t="shared" si="26"/>
        <v>9.230220755088607E-3</v>
      </c>
      <c r="E407" s="12">
        <v>21.14</v>
      </c>
      <c r="F407" s="13">
        <f t="shared" si="27"/>
        <v>0.19512686676257315</v>
      </c>
    </row>
    <row r="408" spans="1:6" x14ac:dyDescent="0.25">
      <c r="A408" s="3" t="s">
        <v>363</v>
      </c>
      <c r="B408" s="10">
        <v>13552</v>
      </c>
      <c r="C408" s="23">
        <f t="shared" si="26"/>
        <v>3.6217485573270254E-3</v>
      </c>
      <c r="E408" s="12">
        <v>22.32</v>
      </c>
      <c r="F408" s="13">
        <f t="shared" si="27"/>
        <v>8.0837427799539202E-2</v>
      </c>
    </row>
    <row r="409" spans="1:6" x14ac:dyDescent="0.25">
      <c r="A409" s="3" t="s">
        <v>364</v>
      </c>
      <c r="B409" s="10">
        <v>4089</v>
      </c>
      <c r="C409" s="23">
        <f t="shared" si="26"/>
        <v>1.0927781767200565E-3</v>
      </c>
      <c r="E409" s="12">
        <v>26.08</v>
      </c>
      <c r="F409" s="13">
        <f t="shared" si="27"/>
        <v>2.8499654848859073E-2</v>
      </c>
    </row>
    <row r="410" spans="1:6" x14ac:dyDescent="0.25">
      <c r="A410" s="3" t="s">
        <v>365</v>
      </c>
      <c r="B410" s="10">
        <v>9089</v>
      </c>
      <c r="C410" s="23">
        <f t="shared" si="26"/>
        <v>2.429019527563853E-3</v>
      </c>
      <c r="E410" s="12">
        <v>21.74</v>
      </c>
      <c r="F410" s="13">
        <f t="shared" si="27"/>
        <v>5.2806884529238159E-2</v>
      </c>
    </row>
    <row r="411" spans="1:6" x14ac:dyDescent="0.25">
      <c r="A411" s="3" t="s">
        <v>366</v>
      </c>
      <c r="B411" s="10">
        <v>13796</v>
      </c>
      <c r="C411" s="23">
        <f t="shared" si="26"/>
        <v>3.6869571352482026E-3</v>
      </c>
      <c r="E411" s="12">
        <v>18.84</v>
      </c>
      <c r="F411" s="13">
        <f t="shared" si="27"/>
        <v>6.9462272428076136E-2</v>
      </c>
    </row>
    <row r="412" spans="1:6" x14ac:dyDescent="0.25">
      <c r="A412" s="3" t="s">
        <v>367</v>
      </c>
      <c r="B412" s="10">
        <v>24173</v>
      </c>
      <c r="C412" s="23">
        <f t="shared" si="26"/>
        <v>6.460192434789418E-3</v>
      </c>
      <c r="E412" s="12">
        <v>20.29</v>
      </c>
      <c r="F412" s="13">
        <f t="shared" si="27"/>
        <v>0.1310773045018773</v>
      </c>
    </row>
    <row r="413" spans="1:6" x14ac:dyDescent="0.25">
      <c r="A413" s="3" t="s">
        <v>368</v>
      </c>
      <c r="B413" s="10">
        <v>15331</v>
      </c>
      <c r="C413" s="23">
        <f t="shared" si="26"/>
        <v>4.0971832299572485E-3</v>
      </c>
      <c r="E413" s="12">
        <v>27.43</v>
      </c>
      <c r="F413" s="13">
        <f t="shared" si="27"/>
        <v>0.11238573599772732</v>
      </c>
    </row>
    <row r="414" spans="1:6" x14ac:dyDescent="0.25">
      <c r="A414" s="3" t="s">
        <v>369</v>
      </c>
      <c r="B414" s="10">
        <v>18221</v>
      </c>
      <c r="C414" s="23">
        <f t="shared" si="26"/>
        <v>4.8695307307449623E-3</v>
      </c>
      <c r="E414" s="12">
        <v>20.52</v>
      </c>
      <c r="F414" s="13">
        <f t="shared" si="27"/>
        <v>9.992277059488662E-2</v>
      </c>
    </row>
    <row r="415" spans="1:6" x14ac:dyDescent="0.25">
      <c r="A415" s="3" t="s">
        <v>370</v>
      </c>
      <c r="B415" s="10">
        <v>6296</v>
      </c>
      <c r="C415" s="23">
        <f t="shared" si="26"/>
        <v>1.6825951089825084E-3</v>
      </c>
      <c r="E415" s="12">
        <v>22.57</v>
      </c>
      <c r="F415" s="13">
        <f t="shared" si="27"/>
        <v>3.7976171609735217E-2</v>
      </c>
    </row>
    <row r="416" spans="1:6" x14ac:dyDescent="0.25">
      <c r="A416" s="3" t="s">
        <v>371</v>
      </c>
      <c r="B416" s="10">
        <v>28323</v>
      </c>
      <c r="C416" s="23">
        <f t="shared" si="26"/>
        <v>7.5692727559897683E-3</v>
      </c>
      <c r="E416" s="12">
        <v>23.95</v>
      </c>
      <c r="F416" s="13">
        <f t="shared" si="27"/>
        <v>0.18128408250595496</v>
      </c>
    </row>
    <row r="417" spans="1:6" x14ac:dyDescent="0.25">
      <c r="A417" s="3" t="s">
        <v>372</v>
      </c>
      <c r="B417" s="10">
        <v>23538</v>
      </c>
      <c r="C417" s="23">
        <f t="shared" si="26"/>
        <v>6.2904897832322558E-3</v>
      </c>
      <c r="E417" s="12">
        <v>22.23</v>
      </c>
      <c r="F417" s="13">
        <f t="shared" si="27"/>
        <v>0.13983758788125306</v>
      </c>
    </row>
    <row r="418" spans="1:6" x14ac:dyDescent="0.25">
      <c r="A418" s="3" t="s">
        <v>373</v>
      </c>
      <c r="B418" s="10">
        <v>81880</v>
      </c>
      <c r="C418" s="23">
        <f t="shared" si="26"/>
        <v>2.188228836141801E-2</v>
      </c>
      <c r="E418" s="12">
        <v>16.52</v>
      </c>
      <c r="F418" s="13">
        <f t="shared" si="27"/>
        <v>0.3614954037306255</v>
      </c>
    </row>
    <row r="419" spans="1:6" x14ac:dyDescent="0.25">
      <c r="A419" s="3" t="s">
        <v>374</v>
      </c>
      <c r="B419" s="10">
        <v>9998</v>
      </c>
      <c r="C419" s="23">
        <f t="shared" si="26"/>
        <v>2.671948205147255E-3</v>
      </c>
      <c r="E419" s="12">
        <v>19.02</v>
      </c>
      <c r="F419" s="13">
        <f t="shared" si="27"/>
        <v>5.0820454861900788E-2</v>
      </c>
    </row>
    <row r="420" spans="1:6" x14ac:dyDescent="0.25">
      <c r="A420" s="3" t="s">
        <v>375</v>
      </c>
      <c r="B420" s="10">
        <v>11220</v>
      </c>
      <c r="C420" s="23">
        <f t="shared" si="26"/>
        <v>2.9985255912934787E-3</v>
      </c>
      <c r="E420" s="12">
        <v>27.29</v>
      </c>
      <c r="F420" s="13">
        <f t="shared" si="27"/>
        <v>8.1829763386399038E-2</v>
      </c>
    </row>
    <row r="421" spans="1:6" x14ac:dyDescent="0.25">
      <c r="A421" s="3" t="s">
        <v>376</v>
      </c>
      <c r="B421" s="10">
        <v>11179</v>
      </c>
      <c r="C421" s="23">
        <f t="shared" si="26"/>
        <v>2.9875684122165598E-3</v>
      </c>
      <c r="E421" s="12">
        <v>25.17</v>
      </c>
      <c r="F421" s="13">
        <f t="shared" si="27"/>
        <v>7.5197096935490815E-2</v>
      </c>
    </row>
    <row r="422" spans="1:6" x14ac:dyDescent="0.25">
      <c r="A422" s="3" t="s">
        <v>377</v>
      </c>
      <c r="B422" s="10">
        <v>13073</v>
      </c>
      <c r="C422" s="23">
        <f t="shared" si="26"/>
        <v>3.4937366359161898E-3</v>
      </c>
      <c r="E422" s="12">
        <v>27.29</v>
      </c>
      <c r="F422" s="13">
        <f t="shared" si="27"/>
        <v>9.5344072794152815E-2</v>
      </c>
    </row>
    <row r="423" spans="1:6" x14ac:dyDescent="0.25">
      <c r="A423" s="3" t="s">
        <v>378</v>
      </c>
      <c r="B423" s="10">
        <v>11463</v>
      </c>
      <c r="C423" s="23">
        <f t="shared" si="26"/>
        <v>3.0634669209444873E-3</v>
      </c>
      <c r="E423" s="12">
        <v>25.68</v>
      </c>
      <c r="F423" s="13">
        <f t="shared" si="27"/>
        <v>7.8669830529854434E-2</v>
      </c>
    </row>
    <row r="424" spans="1:6" x14ac:dyDescent="0.25">
      <c r="A424" s="3" t="s">
        <v>379</v>
      </c>
      <c r="B424" s="10">
        <v>10848</v>
      </c>
      <c r="C424" s="23">
        <f t="shared" si="26"/>
        <v>2.8991092347907003E-3</v>
      </c>
      <c r="E424" s="12">
        <v>23.86</v>
      </c>
      <c r="F424" s="13">
        <f t="shared" si="27"/>
        <v>6.9172746342106115E-2</v>
      </c>
    </row>
    <row r="425" spans="1:6" x14ac:dyDescent="0.25">
      <c r="A425" s="3" t="s">
        <v>380</v>
      </c>
      <c r="B425" s="10">
        <v>8985</v>
      </c>
      <c r="C425" s="23">
        <f t="shared" si="26"/>
        <v>2.401225707466302E-3</v>
      </c>
      <c r="E425" s="12">
        <v>25.67</v>
      </c>
      <c r="F425" s="13">
        <f t="shared" si="27"/>
        <v>6.1639463910659976E-2</v>
      </c>
    </row>
    <row r="426" spans="1:6" x14ac:dyDescent="0.25">
      <c r="A426" s="3" t="s">
        <v>381</v>
      </c>
      <c r="B426" s="10">
        <v>14223</v>
      </c>
      <c r="C426" s="23">
        <f t="shared" si="26"/>
        <v>3.801072146610263E-3</v>
      </c>
      <c r="E426" s="12">
        <v>24.07</v>
      </c>
      <c r="F426" s="13">
        <f t="shared" si="27"/>
        <v>9.1491806568909026E-2</v>
      </c>
    </row>
    <row r="427" spans="1:6" x14ac:dyDescent="0.25">
      <c r="A427" s="3" t="s">
        <v>382</v>
      </c>
      <c r="B427" s="10">
        <v>20410</v>
      </c>
      <c r="C427" s="23">
        <f t="shared" si="26"/>
        <v>5.4545371941443765E-3</v>
      </c>
      <c r="E427" s="12">
        <v>25.36</v>
      </c>
      <c r="F427" s="13">
        <f t="shared" si="27"/>
        <v>0.13832706324350139</v>
      </c>
    </row>
    <row r="428" spans="1:6" x14ac:dyDescent="0.25">
      <c r="A428" s="3" t="s">
        <v>383</v>
      </c>
      <c r="B428" s="10">
        <v>34509</v>
      </c>
      <c r="C428" s="23">
        <f t="shared" si="26"/>
        <v>9.2224705552537128E-3</v>
      </c>
      <c r="E428" s="12">
        <v>20.04</v>
      </c>
      <c r="F428" s="13">
        <f t="shared" si="27"/>
        <v>0.1848183099272844</v>
      </c>
    </row>
    <row r="429" spans="1:6" x14ac:dyDescent="0.25">
      <c r="A429" s="3" t="s">
        <v>384</v>
      </c>
      <c r="B429" s="10">
        <v>10044</v>
      </c>
      <c r="C429" s="23">
        <f t="shared" si="26"/>
        <v>2.684241625575018E-3</v>
      </c>
      <c r="E429" s="12">
        <v>22.12</v>
      </c>
      <c r="F429" s="13">
        <f t="shared" si="27"/>
        <v>5.9375424757719397E-2</v>
      </c>
    </row>
    <row r="430" spans="1:6" x14ac:dyDescent="0.25">
      <c r="A430" s="3" t="s">
        <v>385</v>
      </c>
      <c r="B430" s="10">
        <v>24935</v>
      </c>
      <c r="C430" s="23">
        <f t="shared" si="26"/>
        <v>6.6638356166580119E-3</v>
      </c>
      <c r="E430" s="12">
        <v>22.92</v>
      </c>
      <c r="F430" s="13">
        <f t="shared" si="27"/>
        <v>0.15273511233380163</v>
      </c>
    </row>
    <row r="431" spans="1:6" x14ac:dyDescent="0.25">
      <c r="A431" s="3" t="s">
        <v>386</v>
      </c>
      <c r="B431" s="10">
        <v>16301</v>
      </c>
      <c r="C431" s="23">
        <f t="shared" si="26"/>
        <v>4.3564140520209451E-3</v>
      </c>
      <c r="E431" s="12">
        <v>21.94</v>
      </c>
      <c r="F431" s="13">
        <f t="shared" si="27"/>
        <v>9.5579724301339541E-2</v>
      </c>
    </row>
    <row r="432" spans="1:6" x14ac:dyDescent="0.25">
      <c r="A432" s="3" t="s">
        <v>387</v>
      </c>
      <c r="B432" s="10">
        <v>13096</v>
      </c>
      <c r="C432" s="23">
        <f t="shared" si="26"/>
        <v>3.4998833461300713E-3</v>
      </c>
      <c r="E432" s="12">
        <v>15.92</v>
      </c>
      <c r="F432" s="13">
        <f t="shared" si="27"/>
        <v>5.5718142870390737E-2</v>
      </c>
    </row>
    <row r="433" spans="1:6" x14ac:dyDescent="0.25">
      <c r="A433" s="3" t="s">
        <v>388</v>
      </c>
      <c r="B433" s="10">
        <v>18547</v>
      </c>
      <c r="C433" s="23">
        <f t="shared" si="26"/>
        <v>4.9566536668199778E-3</v>
      </c>
      <c r="E433" s="12">
        <v>16.32</v>
      </c>
      <c r="F433" s="13">
        <f t="shared" si="27"/>
        <v>8.0892587842502042E-2</v>
      </c>
    </row>
    <row r="434" spans="1:6" x14ac:dyDescent="0.25">
      <c r="A434" s="3" t="s">
        <v>389</v>
      </c>
      <c r="B434" s="10">
        <v>9498</v>
      </c>
      <c r="C434" s="23">
        <f t="shared" si="26"/>
        <v>2.5383240700628754E-3</v>
      </c>
      <c r="E434" s="12">
        <v>22.43</v>
      </c>
      <c r="F434" s="13">
        <f t="shared" si="27"/>
        <v>5.6934608891510294E-2</v>
      </c>
    </row>
    <row r="435" spans="1:6" x14ac:dyDescent="0.25">
      <c r="A435" s="3" t="s">
        <v>390</v>
      </c>
      <c r="B435" s="10">
        <v>8889</v>
      </c>
      <c r="C435" s="23">
        <f t="shared" si="26"/>
        <v>2.3755698735301012E-3</v>
      </c>
      <c r="E435" s="12">
        <v>15.15</v>
      </c>
      <c r="F435" s="13">
        <f t="shared" si="27"/>
        <v>3.5989883583981037E-2</v>
      </c>
    </row>
    <row r="436" spans="1:6" x14ac:dyDescent="0.25">
      <c r="A436" s="3" t="s">
        <v>391</v>
      </c>
      <c r="B436" s="10">
        <v>28536</v>
      </c>
      <c r="C436" s="23">
        <f t="shared" si="26"/>
        <v>7.6261966375357143E-3</v>
      </c>
      <c r="E436" s="12">
        <v>19.88</v>
      </c>
      <c r="F436" s="13">
        <f t="shared" si="27"/>
        <v>0.15160878915421</v>
      </c>
    </row>
    <row r="437" spans="1:6" x14ac:dyDescent="0.25">
      <c r="A437" s="3" t="s">
        <v>392</v>
      </c>
      <c r="B437" s="10">
        <v>9110</v>
      </c>
      <c r="C437" s="23">
        <f t="shared" si="26"/>
        <v>2.434631741237397E-3</v>
      </c>
      <c r="E437" s="12">
        <v>26.23</v>
      </c>
      <c r="F437" s="13">
        <f t="shared" si="27"/>
        <v>6.3860390572656925E-2</v>
      </c>
    </row>
    <row r="438" spans="1:6" x14ac:dyDescent="0.25">
      <c r="A438" s="3" t="s">
        <v>393</v>
      </c>
      <c r="B438" s="10">
        <f>6525</f>
        <v>6525</v>
      </c>
      <c r="C438" s="23">
        <f t="shared" si="26"/>
        <v>1.7437949628511542E-3</v>
      </c>
      <c r="E438" s="12">
        <v>22.57</v>
      </c>
      <c r="F438" s="13">
        <f t="shared" si="27"/>
        <v>3.935745231155055E-2</v>
      </c>
    </row>
    <row r="439" spans="1:6" x14ac:dyDescent="0.25">
      <c r="A439" s="3" t="s">
        <v>394</v>
      </c>
      <c r="B439" s="10">
        <v>11767</v>
      </c>
      <c r="C439" s="23">
        <f t="shared" si="26"/>
        <v>3.1447103950757904E-3</v>
      </c>
      <c r="E439" s="12">
        <v>25.18</v>
      </c>
      <c r="F439" s="13">
        <f t="shared" si="27"/>
        <v>7.91838077480084E-2</v>
      </c>
    </row>
    <row r="440" spans="1:6" x14ac:dyDescent="0.25">
      <c r="A440" s="3" t="s">
        <v>395</v>
      </c>
      <c r="B440" s="10">
        <v>14969</v>
      </c>
      <c r="C440" s="23">
        <f>B440/B$492</f>
        <v>4.0004393561561572E-3</v>
      </c>
      <c r="E440" s="12">
        <v>24.14</v>
      </c>
      <c r="F440" s="13">
        <f t="shared" si="27"/>
        <v>9.6570606057609643E-2</v>
      </c>
    </row>
    <row r="441" spans="1:6" x14ac:dyDescent="0.25">
      <c r="A441" s="3" t="s">
        <v>396</v>
      </c>
      <c r="B441" s="10">
        <v>11355</v>
      </c>
      <c r="C441" s="23">
        <f>B441/B$492</f>
        <v>3.0346041077662614E-3</v>
      </c>
      <c r="E441" s="12">
        <v>23.37</v>
      </c>
      <c r="F441" s="13">
        <f t="shared" si="27"/>
        <v>7.0918697998497537E-2</v>
      </c>
    </row>
    <row r="442" spans="1:6" x14ac:dyDescent="0.25">
      <c r="A442" s="3" t="s">
        <v>397</v>
      </c>
      <c r="B442" s="10">
        <v>10588</v>
      </c>
      <c r="C442" s="23">
        <f>B442/B$492</f>
        <v>2.8296246845468231E-3</v>
      </c>
      <c r="E442" s="12">
        <v>20.440000000000001</v>
      </c>
      <c r="F442" s="13">
        <f t="shared" si="27"/>
        <v>5.7837528552137064E-2</v>
      </c>
    </row>
    <row r="443" spans="1:6" x14ac:dyDescent="0.25">
      <c r="A443" s="3" t="s">
        <v>398</v>
      </c>
      <c r="B443" s="10">
        <v>19304</v>
      </c>
      <c r="C443" s="23">
        <f>B443/B$492</f>
        <v>5.1589606073377285E-3</v>
      </c>
      <c r="E443" s="12">
        <v>23.65</v>
      </c>
      <c r="F443" s="13">
        <f t="shared" si="27"/>
        <v>0.12200941836353728</v>
      </c>
    </row>
    <row r="444" spans="1:6" x14ac:dyDescent="0.25">
      <c r="A444" s="3" t="s">
        <v>399</v>
      </c>
      <c r="B444" s="10">
        <v>32336</v>
      </c>
      <c r="C444" s="23">
        <f t="shared" ref="C444:C490" si="28">B444/B$492</f>
        <v>8.641740064176999E-3</v>
      </c>
      <c r="E444" s="12">
        <v>24.2</v>
      </c>
      <c r="F444" s="13">
        <f t="shared" si="27"/>
        <v>0.20913010955308337</v>
      </c>
    </row>
    <row r="445" spans="1:6" x14ac:dyDescent="0.25">
      <c r="A445" s="3" t="s">
        <v>400</v>
      </c>
      <c r="B445" s="10">
        <v>11855</v>
      </c>
      <c r="C445" s="23">
        <f t="shared" si="28"/>
        <v>3.168228242850641E-3</v>
      </c>
      <c r="E445" s="12">
        <v>27.88</v>
      </c>
      <c r="F445" s="13">
        <f t="shared" si="27"/>
        <v>8.8330203410675864E-2</v>
      </c>
    </row>
    <row r="446" spans="1:6" x14ac:dyDescent="0.25">
      <c r="A446" s="3" t="s">
        <v>401</v>
      </c>
      <c r="B446" s="10">
        <v>19469</v>
      </c>
      <c r="C446" s="23">
        <f t="shared" si="28"/>
        <v>5.2030565719155741E-3</v>
      </c>
      <c r="E446" s="12">
        <v>21.84</v>
      </c>
      <c r="F446" s="13">
        <f t="shared" si="27"/>
        <v>0.11363475553063614</v>
      </c>
    </row>
    <row r="447" spans="1:6" x14ac:dyDescent="0.25">
      <c r="A447" s="3" t="s">
        <v>402</v>
      </c>
      <c r="B447" s="10">
        <v>14553</v>
      </c>
      <c r="C447" s="23">
        <f t="shared" si="28"/>
        <v>3.8892640757659538E-3</v>
      </c>
      <c r="E447" s="12">
        <v>25.07</v>
      </c>
      <c r="F447" s="13">
        <f t="shared" si="27"/>
        <v>9.7503850379452459E-2</v>
      </c>
    </row>
    <row r="448" spans="1:6" x14ac:dyDescent="0.25">
      <c r="A448" s="3" t="s">
        <v>403</v>
      </c>
      <c r="B448" s="10">
        <v>17317</v>
      </c>
      <c r="C448" s="23">
        <f t="shared" si="28"/>
        <v>4.6279382945124039E-3</v>
      </c>
      <c r="E448" s="12">
        <v>28.09</v>
      </c>
      <c r="F448" s="13">
        <f t="shared" si="27"/>
        <v>0.12999878669285342</v>
      </c>
    </row>
    <row r="449" spans="1:6" x14ac:dyDescent="0.25">
      <c r="A449" s="3" t="s">
        <v>404</v>
      </c>
      <c r="B449" s="10">
        <v>13539</v>
      </c>
      <c r="C449" s="23">
        <f t="shared" si="28"/>
        <v>3.6182743298148316E-3</v>
      </c>
      <c r="E449" s="12">
        <v>20.89</v>
      </c>
      <c r="F449" s="13">
        <f t="shared" ref="F449:F491" si="29">E449*C449</f>
        <v>7.5585750749831829E-2</v>
      </c>
    </row>
    <row r="450" spans="1:6" x14ac:dyDescent="0.25">
      <c r="A450" s="3" t="s">
        <v>405</v>
      </c>
      <c r="B450" s="10">
        <v>8537</v>
      </c>
      <c r="C450" s="23">
        <f t="shared" si="28"/>
        <v>2.2814984824306977E-3</v>
      </c>
      <c r="E450" s="12">
        <v>22.55</v>
      </c>
      <c r="F450" s="13">
        <f t="shared" si="29"/>
        <v>5.1447790778812237E-2</v>
      </c>
    </row>
    <row r="451" spans="1:6" x14ac:dyDescent="0.25">
      <c r="A451" s="3" t="s">
        <v>406</v>
      </c>
      <c r="B451" s="10">
        <v>6756</v>
      </c>
      <c r="C451" s="23">
        <f t="shared" si="28"/>
        <v>1.8055293132601376E-3</v>
      </c>
      <c r="E451" s="12">
        <v>28.86</v>
      </c>
      <c r="F451" s="13">
        <f t="shared" si="29"/>
        <v>5.2107575980687569E-2</v>
      </c>
    </row>
    <row r="452" spans="1:6" x14ac:dyDescent="0.25">
      <c r="A452" s="3" t="s">
        <v>407</v>
      </c>
      <c r="B452" s="10">
        <v>15253</v>
      </c>
      <c r="C452" s="23">
        <f t="shared" si="28"/>
        <v>4.0763378648840847E-3</v>
      </c>
      <c r="E452" s="12">
        <v>31.1</v>
      </c>
      <c r="F452" s="13">
        <f t="shared" si="29"/>
        <v>0.12677410759789504</v>
      </c>
    </row>
    <row r="453" spans="1:6" x14ac:dyDescent="0.25">
      <c r="A453" s="3" t="s">
        <v>408</v>
      </c>
      <c r="B453" s="10">
        <v>20871</v>
      </c>
      <c r="C453" s="23">
        <f t="shared" si="28"/>
        <v>5.5777386466921743E-3</v>
      </c>
      <c r="E453" s="12">
        <v>24.83</v>
      </c>
      <c r="F453" s="13">
        <f t="shared" si="29"/>
        <v>0.13849525059736667</v>
      </c>
    </row>
    <row r="454" spans="1:6" x14ac:dyDescent="0.25">
      <c r="A454" s="3" t="s">
        <v>409</v>
      </c>
      <c r="B454" s="10">
        <v>3894</v>
      </c>
      <c r="C454" s="23">
        <f t="shared" si="28"/>
        <v>1.0406647640371486E-3</v>
      </c>
      <c r="E454" s="12">
        <v>28.94</v>
      </c>
      <c r="F454" s="13">
        <f t="shared" si="29"/>
        <v>3.0116838271235083E-2</v>
      </c>
    </row>
    <row r="455" spans="1:6" x14ac:dyDescent="0.25">
      <c r="A455" s="3" t="s">
        <v>410</v>
      </c>
      <c r="B455" s="10">
        <v>13891</v>
      </c>
      <c r="C455" s="23">
        <f t="shared" si="28"/>
        <v>3.7123457209142351E-3</v>
      </c>
      <c r="E455" s="12">
        <v>24.8</v>
      </c>
      <c r="F455" s="13">
        <f t="shared" si="29"/>
        <v>9.2066173878673038E-2</v>
      </c>
    </row>
    <row r="456" spans="1:6" x14ac:dyDescent="0.25">
      <c r="A456" s="3" t="s">
        <v>411</v>
      </c>
      <c r="B456" s="10">
        <v>9722</v>
      </c>
      <c r="C456" s="23">
        <f t="shared" si="28"/>
        <v>2.5981876825806774E-3</v>
      </c>
      <c r="E456" s="12">
        <v>28.28</v>
      </c>
      <c r="F456" s="13">
        <f t="shared" si="29"/>
        <v>7.3476747663381553E-2</v>
      </c>
    </row>
    <row r="457" spans="1:6" x14ac:dyDescent="0.25">
      <c r="A457" s="3" t="s">
        <v>412</v>
      </c>
      <c r="B457" s="10">
        <v>15719</v>
      </c>
      <c r="C457" s="23">
        <f t="shared" si="28"/>
        <v>4.2008755587827273E-3</v>
      </c>
      <c r="E457" s="12">
        <v>27.82</v>
      </c>
      <c r="F457" s="13">
        <f t="shared" si="29"/>
        <v>0.11686835804533548</v>
      </c>
    </row>
    <row r="458" spans="1:6" x14ac:dyDescent="0.25">
      <c r="A458" s="3" t="s">
        <v>413</v>
      </c>
      <c r="B458" s="10">
        <v>40919</v>
      </c>
      <c r="C458" s="23">
        <f t="shared" si="28"/>
        <v>1.093553196703546E-2</v>
      </c>
      <c r="E458" s="12">
        <v>21.83</v>
      </c>
      <c r="F458" s="13">
        <f t="shared" si="29"/>
        <v>0.23872266284038407</v>
      </c>
    </row>
    <row r="459" spans="1:6" x14ac:dyDescent="0.25">
      <c r="A459" s="3" t="s">
        <v>414</v>
      </c>
      <c r="B459" s="10">
        <v>11290</v>
      </c>
      <c r="C459" s="23">
        <f t="shared" si="28"/>
        <v>3.0172329702052923E-3</v>
      </c>
      <c r="E459" s="12">
        <v>23.81</v>
      </c>
      <c r="F459" s="13">
        <f t="shared" si="29"/>
        <v>7.1840317020588004E-2</v>
      </c>
    </row>
    <row r="460" spans="1:6" x14ac:dyDescent="0.25">
      <c r="A460" s="3" t="s">
        <v>415</v>
      </c>
      <c r="B460" s="10">
        <v>12344</v>
      </c>
      <c r="C460" s="23">
        <f t="shared" si="28"/>
        <v>3.2989126469631642E-3</v>
      </c>
      <c r="E460" s="12">
        <v>20.89</v>
      </c>
      <c r="F460" s="13">
        <f t="shared" si="29"/>
        <v>6.8914285195060501E-2</v>
      </c>
    </row>
    <row r="461" spans="1:6" x14ac:dyDescent="0.25">
      <c r="A461" s="3" t="s">
        <v>416</v>
      </c>
      <c r="B461" s="10">
        <v>48353</v>
      </c>
      <c r="C461" s="23">
        <f t="shared" si="28"/>
        <v>1.2922255607470018E-2</v>
      </c>
      <c r="E461" s="12">
        <v>19.309999999999999</v>
      </c>
      <c r="F461" s="13">
        <f t="shared" si="29"/>
        <v>0.24952875578024603</v>
      </c>
    </row>
    <row r="462" spans="1:6" x14ac:dyDescent="0.25">
      <c r="A462" s="3" t="s">
        <v>417</v>
      </c>
      <c r="B462" s="10">
        <v>10022</v>
      </c>
      <c r="C462" s="23">
        <f t="shared" si="28"/>
        <v>2.6783621636313052E-3</v>
      </c>
      <c r="E462" s="12">
        <v>27.18</v>
      </c>
      <c r="F462" s="13">
        <f t="shared" si="29"/>
        <v>7.2797883607498878E-2</v>
      </c>
    </row>
    <row r="463" spans="1:6" x14ac:dyDescent="0.25">
      <c r="A463" s="3" t="s">
        <v>418</v>
      </c>
      <c r="B463" s="10">
        <v>13434</v>
      </c>
      <c r="C463" s="23">
        <f t="shared" si="28"/>
        <v>3.5902132614471119E-3</v>
      </c>
      <c r="E463" s="12">
        <v>26.25</v>
      </c>
      <c r="F463" s="13">
        <f t="shared" si="29"/>
        <v>9.4243098112986687E-2</v>
      </c>
    </row>
    <row r="464" spans="1:6" x14ac:dyDescent="0.25">
      <c r="A464" s="3" t="s">
        <v>419</v>
      </c>
      <c r="B464" s="10">
        <v>23196</v>
      </c>
      <c r="C464" s="23">
        <f t="shared" si="28"/>
        <v>6.1990908748345399E-3</v>
      </c>
      <c r="E464" s="12">
        <v>26.54</v>
      </c>
      <c r="F464" s="13">
        <f t="shared" si="29"/>
        <v>0.16452387181810868</v>
      </c>
    </row>
    <row r="465" spans="1:6" x14ac:dyDescent="0.25">
      <c r="A465" s="3" t="s">
        <v>420</v>
      </c>
      <c r="B465" s="10">
        <v>14026</v>
      </c>
      <c r="C465" s="23">
        <f t="shared" si="28"/>
        <v>3.7484242373870174E-3</v>
      </c>
      <c r="E465" s="12">
        <v>24.1</v>
      </c>
      <c r="F465" s="13">
        <f t="shared" si="29"/>
        <v>9.0337024121027121E-2</v>
      </c>
    </row>
    <row r="466" spans="1:6" x14ac:dyDescent="0.25">
      <c r="A466" s="3" t="s">
        <v>421</v>
      </c>
      <c r="B466" s="10">
        <v>10200</v>
      </c>
      <c r="C466" s="23">
        <f t="shared" si="28"/>
        <v>2.7259323557213447E-3</v>
      </c>
      <c r="E466" s="12">
        <v>21.06</v>
      </c>
      <c r="F466" s="13">
        <f t="shared" si="29"/>
        <v>5.7408135411491514E-2</v>
      </c>
    </row>
    <row r="467" spans="1:6" x14ac:dyDescent="0.25">
      <c r="A467" s="3" t="s">
        <v>422</v>
      </c>
      <c r="B467" s="10">
        <v>7368</v>
      </c>
      <c r="C467" s="23">
        <f t="shared" si="28"/>
        <v>1.9690852546034184E-3</v>
      </c>
      <c r="E467" s="12">
        <v>26.84</v>
      </c>
      <c r="F467" s="13">
        <f t="shared" si="29"/>
        <v>5.2850248233555747E-2</v>
      </c>
    </row>
    <row r="468" spans="1:6" x14ac:dyDescent="0.25">
      <c r="A468" s="3" t="s">
        <v>423</v>
      </c>
      <c r="B468" s="10">
        <v>19154</v>
      </c>
      <c r="C468" s="23">
        <f t="shared" si="28"/>
        <v>5.118873366812415E-3</v>
      </c>
      <c r="E468" s="12">
        <v>26.42</v>
      </c>
      <c r="F468" s="13">
        <f t="shared" si="29"/>
        <v>0.13524063435118402</v>
      </c>
    </row>
    <row r="469" spans="1:6" x14ac:dyDescent="0.25">
      <c r="A469" s="3" t="s">
        <v>424</v>
      </c>
      <c r="B469" s="10">
        <v>40810</v>
      </c>
      <c r="C469" s="23">
        <f t="shared" si="28"/>
        <v>1.0906401905587065E-2</v>
      </c>
      <c r="E469" s="12">
        <v>25.87</v>
      </c>
      <c r="F469" s="13">
        <f t="shared" si="29"/>
        <v>0.28214861729753737</v>
      </c>
    </row>
    <row r="470" spans="1:6" x14ac:dyDescent="0.25">
      <c r="A470" s="3" t="s">
        <v>425</v>
      </c>
      <c r="B470" s="10">
        <v>22450</v>
      </c>
      <c r="C470" s="23">
        <f t="shared" si="28"/>
        <v>5.9997236652886456E-3</v>
      </c>
      <c r="E470" s="12">
        <v>21.95</v>
      </c>
      <c r="F470" s="13">
        <f t="shared" si="29"/>
        <v>0.13169393445308578</v>
      </c>
    </row>
    <row r="471" spans="1:6" x14ac:dyDescent="0.25">
      <c r="A471" s="3" t="s">
        <v>426</v>
      </c>
      <c r="B471" s="10">
        <v>13836</v>
      </c>
      <c r="C471" s="23">
        <f t="shared" si="28"/>
        <v>3.6976470660549533E-3</v>
      </c>
      <c r="E471" s="12">
        <v>24.83</v>
      </c>
      <c r="F471" s="13">
        <f t="shared" si="29"/>
        <v>9.1812576650144487E-2</v>
      </c>
    </row>
    <row r="472" spans="1:6" x14ac:dyDescent="0.25">
      <c r="A472" s="3" t="s">
        <v>427</v>
      </c>
      <c r="B472" s="10">
        <v>42449</v>
      </c>
      <c r="C472" s="23">
        <f t="shared" si="28"/>
        <v>1.1344421820393661E-2</v>
      </c>
      <c r="E472" s="12">
        <v>22.59</v>
      </c>
      <c r="F472" s="13">
        <f t="shared" si="29"/>
        <v>0.25627048892269283</v>
      </c>
    </row>
    <row r="473" spans="1:6" x14ac:dyDescent="0.25">
      <c r="A473" s="3" t="s">
        <v>428</v>
      </c>
      <c r="B473" s="10">
        <v>11523</v>
      </c>
      <c r="C473" s="23">
        <f t="shared" si="28"/>
        <v>3.0795018171546132E-3</v>
      </c>
      <c r="E473" s="12">
        <v>22.06</v>
      </c>
      <c r="F473" s="13">
        <f t="shared" si="29"/>
        <v>6.7933810086430763E-2</v>
      </c>
    </row>
    <row r="474" spans="1:6" x14ac:dyDescent="0.25">
      <c r="A474" s="3" t="s">
        <v>429</v>
      </c>
      <c r="B474" s="10">
        <v>36295</v>
      </c>
      <c r="C474" s="23">
        <f t="shared" si="28"/>
        <v>9.6997759657751169E-3</v>
      </c>
      <c r="E474" s="12">
        <v>21.52</v>
      </c>
      <c r="F474" s="13">
        <f t="shared" si="29"/>
        <v>0.2087391787834805</v>
      </c>
    </row>
    <row r="475" spans="1:6" x14ac:dyDescent="0.25">
      <c r="A475" s="3" t="s">
        <v>430</v>
      </c>
      <c r="B475" s="10">
        <v>13143</v>
      </c>
      <c r="C475" s="23">
        <f t="shared" si="28"/>
        <v>3.512444014828003E-3</v>
      </c>
      <c r="E475" s="12">
        <v>26.6</v>
      </c>
      <c r="F475" s="13">
        <f t="shared" si="29"/>
        <v>9.3431010794424882E-2</v>
      </c>
    </row>
    <row r="476" spans="1:6" x14ac:dyDescent="0.25">
      <c r="A476" s="3" t="s">
        <v>431</v>
      </c>
      <c r="B476" s="10">
        <v>15608</v>
      </c>
      <c r="C476" s="23">
        <f t="shared" si="28"/>
        <v>4.1712110007939944E-3</v>
      </c>
      <c r="E476" s="12">
        <v>28.42</v>
      </c>
      <c r="F476" s="13">
        <f t="shared" si="29"/>
        <v>0.11854581664256533</v>
      </c>
    </row>
    <row r="477" spans="1:6" x14ac:dyDescent="0.25">
      <c r="A477" s="3" t="s">
        <v>432</v>
      </c>
      <c r="B477" s="10">
        <v>12153</v>
      </c>
      <c r="C477" s="23">
        <f t="shared" si="28"/>
        <v>3.2478682273609314E-3</v>
      </c>
      <c r="E477" s="12">
        <v>28.31</v>
      </c>
      <c r="F477" s="13">
        <f t="shared" si="29"/>
        <v>9.1947149516587959E-2</v>
      </c>
    </row>
    <row r="478" spans="1:6" x14ac:dyDescent="0.25">
      <c r="A478" s="3" t="s">
        <v>433</v>
      </c>
      <c r="B478" s="10">
        <v>11287</v>
      </c>
      <c r="C478" s="23">
        <f t="shared" si="28"/>
        <v>3.0164312253947857E-3</v>
      </c>
      <c r="E478" s="12">
        <v>26.14</v>
      </c>
      <c r="F478" s="13">
        <f t="shared" si="29"/>
        <v>7.8849512231819699E-2</v>
      </c>
    </row>
    <row r="479" spans="1:6" x14ac:dyDescent="0.25">
      <c r="A479" s="3" t="s">
        <v>434</v>
      </c>
      <c r="B479" s="10">
        <v>14653</v>
      </c>
      <c r="C479" s="23">
        <f t="shared" si="28"/>
        <v>3.9159889027828299E-3</v>
      </c>
      <c r="E479" s="12">
        <v>27.97</v>
      </c>
      <c r="F479" s="13">
        <f t="shared" si="29"/>
        <v>0.10953020961083575</v>
      </c>
    </row>
    <row r="480" spans="1:6" x14ac:dyDescent="0.25">
      <c r="A480" s="3" t="s">
        <v>435</v>
      </c>
      <c r="B480" s="10">
        <v>27683</v>
      </c>
      <c r="C480" s="23">
        <f t="shared" si="28"/>
        <v>7.3982338630817629E-3</v>
      </c>
      <c r="E480" s="12">
        <v>32</v>
      </c>
      <c r="F480" s="13">
        <f t="shared" si="29"/>
        <v>0.23674348361861641</v>
      </c>
    </row>
    <row r="481" spans="1:6" x14ac:dyDescent="0.25">
      <c r="A481" s="3" t="s">
        <v>436</v>
      </c>
      <c r="B481" s="10">
        <v>10956</v>
      </c>
      <c r="C481" s="23">
        <f t="shared" si="28"/>
        <v>2.9279720479689266E-3</v>
      </c>
      <c r="E481" s="12">
        <v>19.82</v>
      </c>
      <c r="F481" s="13">
        <f t="shared" si="29"/>
        <v>5.8032405990744128E-2</v>
      </c>
    </row>
    <row r="482" spans="1:6" x14ac:dyDescent="0.25">
      <c r="A482" s="3" t="s">
        <v>437</v>
      </c>
      <c r="B482" s="10">
        <v>9694</v>
      </c>
      <c r="C482" s="23">
        <f t="shared" si="28"/>
        <v>2.5907047310159523E-3</v>
      </c>
      <c r="E482" s="12">
        <v>28.31</v>
      </c>
      <c r="F482" s="13">
        <f t="shared" si="29"/>
        <v>7.3342850935061613E-2</v>
      </c>
    </row>
    <row r="483" spans="1:6" x14ac:dyDescent="0.25">
      <c r="A483" s="3" t="s">
        <v>438</v>
      </c>
      <c r="B483" s="10">
        <v>76837</v>
      </c>
      <c r="C483" s="23">
        <f t="shared" si="28"/>
        <v>2.0534555334956954E-2</v>
      </c>
      <c r="E483" s="12">
        <v>21.42</v>
      </c>
      <c r="F483" s="13">
        <f t="shared" si="29"/>
        <v>0.43985017527477799</v>
      </c>
    </row>
    <row r="484" spans="1:6" x14ac:dyDescent="0.25">
      <c r="A484" s="3" t="s">
        <v>439</v>
      </c>
      <c r="B484" s="10">
        <v>5320</v>
      </c>
      <c r="C484" s="23">
        <f t="shared" si="28"/>
        <v>1.4217607972977994E-3</v>
      </c>
      <c r="E484" s="12">
        <v>32.31</v>
      </c>
      <c r="F484" s="13">
        <f t="shared" si="29"/>
        <v>4.5937091360691899E-2</v>
      </c>
    </row>
    <row r="485" spans="1:6" x14ac:dyDescent="0.25">
      <c r="A485" s="3" t="s">
        <v>440</v>
      </c>
      <c r="B485" s="10">
        <v>8487</v>
      </c>
      <c r="C485" s="23">
        <f t="shared" si="28"/>
        <v>2.2681360689222599E-3</v>
      </c>
      <c r="E485" s="12">
        <v>29.21</v>
      </c>
      <c r="F485" s="13">
        <f t="shared" si="29"/>
        <v>6.6252254573219219E-2</v>
      </c>
    </row>
    <row r="486" spans="1:6" x14ac:dyDescent="0.25">
      <c r="A486" s="3" t="s">
        <v>441</v>
      </c>
      <c r="B486" s="10">
        <v>18383</v>
      </c>
      <c r="C486" s="23">
        <f t="shared" si="28"/>
        <v>4.9128249505123013E-3</v>
      </c>
      <c r="E486" s="12">
        <v>23.81</v>
      </c>
      <c r="F486" s="13">
        <f t="shared" si="29"/>
        <v>0.11697436207169788</v>
      </c>
    </row>
    <row r="487" spans="1:6" x14ac:dyDescent="0.25">
      <c r="A487" s="3" t="s">
        <v>442</v>
      </c>
      <c r="B487" s="10">
        <v>6207</v>
      </c>
      <c r="C487" s="23">
        <f t="shared" si="28"/>
        <v>1.6588100129374887E-3</v>
      </c>
      <c r="E487" s="12">
        <v>30.17</v>
      </c>
      <c r="F487" s="13">
        <f t="shared" si="29"/>
        <v>5.0046298090324036E-2</v>
      </c>
    </row>
    <row r="488" spans="1:6" x14ac:dyDescent="0.25">
      <c r="A488" s="3" t="s">
        <v>443</v>
      </c>
      <c r="B488" s="10">
        <v>14346</v>
      </c>
      <c r="C488" s="23">
        <f t="shared" si="28"/>
        <v>3.8339436838410205E-3</v>
      </c>
      <c r="E488" s="12">
        <v>22.38</v>
      </c>
      <c r="F488" s="13">
        <f t="shared" si="29"/>
        <v>8.580365964436204E-2</v>
      </c>
    </row>
    <row r="489" spans="1:6" x14ac:dyDescent="0.25">
      <c r="A489" s="3" t="s">
        <v>444</v>
      </c>
      <c r="B489" s="10">
        <v>10897</v>
      </c>
      <c r="C489" s="23">
        <f t="shared" si="28"/>
        <v>2.9122044000289699E-3</v>
      </c>
      <c r="E489" s="12">
        <v>24.52</v>
      </c>
      <c r="F489" s="13">
        <f t="shared" si="29"/>
        <v>7.1407251888710346E-2</v>
      </c>
    </row>
    <row r="490" spans="1:6" x14ac:dyDescent="0.25">
      <c r="A490" s="3" t="s">
        <v>445</v>
      </c>
      <c r="B490" s="10">
        <v>10644</v>
      </c>
      <c r="C490" s="23">
        <f t="shared" si="28"/>
        <v>2.8445905876762737E-3</v>
      </c>
      <c r="E490" s="12">
        <v>26</v>
      </c>
      <c r="F490" s="13">
        <f t="shared" si="29"/>
        <v>7.3959355279583111E-2</v>
      </c>
    </row>
    <row r="491" spans="1:6" x14ac:dyDescent="0.25">
      <c r="A491" s="3" t="s">
        <v>446</v>
      </c>
      <c r="B491" s="10">
        <v>15781</v>
      </c>
      <c r="C491" s="23">
        <f>B491/B$492</f>
        <v>4.2174449515331898E-3</v>
      </c>
      <c r="E491" s="12">
        <v>24.05</v>
      </c>
      <c r="F491" s="13">
        <f t="shared" si="29"/>
        <v>0.10142955108437322</v>
      </c>
    </row>
    <row r="492" spans="1:6" x14ac:dyDescent="0.25">
      <c r="A492" s="20" t="s">
        <v>0</v>
      </c>
      <c r="B492" s="21">
        <f>SUM(B384:B491)</f>
        <v>3741839</v>
      </c>
      <c r="C492" s="22">
        <f>B492/B$492</f>
        <v>1</v>
      </c>
      <c r="D492" s="18"/>
      <c r="E492" s="18"/>
      <c r="F492" s="19">
        <f>SUM(F384:F491)</f>
        <v>17.319278103627656</v>
      </c>
    </row>
    <row r="495" spans="1:6" x14ac:dyDescent="0.25">
      <c r="A495" s="9" t="s">
        <v>952</v>
      </c>
    </row>
    <row r="496" spans="1:6" x14ac:dyDescent="0.25">
      <c r="A496" s="3" t="s">
        <v>447</v>
      </c>
      <c r="B496" s="10">
        <v>92550</v>
      </c>
      <c r="C496" s="23">
        <f t="shared" ref="C496:C559" si="30">B496/B$593</f>
        <v>5.2498574795578887E-2</v>
      </c>
      <c r="E496" s="12">
        <v>11.42</v>
      </c>
      <c r="F496" s="13">
        <f t="shared" ref="F496:F559" si="31">E496*C496</f>
        <v>0.59953372416551087</v>
      </c>
    </row>
    <row r="497" spans="1:6" x14ac:dyDescent="0.25">
      <c r="A497" s="3" t="s">
        <v>448</v>
      </c>
      <c r="B497" s="10">
        <v>247717</v>
      </c>
      <c r="C497" s="23">
        <f t="shared" si="30"/>
        <v>0.14051636361573652</v>
      </c>
      <c r="E497" s="12">
        <v>15.55</v>
      </c>
      <c r="F497" s="13">
        <f t="shared" si="31"/>
        <v>2.1850294542247028</v>
      </c>
    </row>
    <row r="498" spans="1:6" x14ac:dyDescent="0.25">
      <c r="A498" s="3" t="s">
        <v>449</v>
      </c>
      <c r="B498" s="10">
        <v>218095</v>
      </c>
      <c r="C498" s="23">
        <f t="shared" si="30"/>
        <v>0.12371341620790684</v>
      </c>
      <c r="E498" s="12">
        <v>15.56</v>
      </c>
      <c r="F498" s="13">
        <f t="shared" si="31"/>
        <v>1.9249807561950305</v>
      </c>
    </row>
    <row r="499" spans="1:6" x14ac:dyDescent="0.25">
      <c r="A499" s="3" t="s">
        <v>450</v>
      </c>
      <c r="B499" s="10">
        <v>79502</v>
      </c>
      <c r="C499" s="23">
        <f t="shared" si="30"/>
        <v>4.5097154979990416E-2</v>
      </c>
      <c r="E499" s="12">
        <v>17.149999999999999</v>
      </c>
      <c r="F499" s="13">
        <f t="shared" si="31"/>
        <v>0.77341620790683552</v>
      </c>
    </row>
    <row r="500" spans="1:6" x14ac:dyDescent="0.25">
      <c r="A500" s="3" t="s">
        <v>451</v>
      </c>
      <c r="B500" s="10">
        <v>12603</v>
      </c>
      <c r="C500" s="23">
        <f t="shared" si="30"/>
        <v>7.1489955499587331E-3</v>
      </c>
      <c r="E500" s="12">
        <v>21.39</v>
      </c>
      <c r="F500" s="13">
        <f t="shared" si="31"/>
        <v>0.1529170148136173</v>
      </c>
    </row>
    <row r="501" spans="1:6" x14ac:dyDescent="0.25">
      <c r="A501" s="3" t="s">
        <v>452</v>
      </c>
      <c r="B501" s="10">
        <v>22114</v>
      </c>
      <c r="C501" s="23">
        <f t="shared" si="30"/>
        <v>1.2544067887946316E-2</v>
      </c>
      <c r="E501" s="12">
        <v>21.75</v>
      </c>
      <c r="F501" s="13">
        <f t="shared" si="31"/>
        <v>0.27283347656283236</v>
      </c>
    </row>
    <row r="502" spans="1:6" x14ac:dyDescent="0.25">
      <c r="A502" s="3" t="s">
        <v>453</v>
      </c>
      <c r="B502" s="31">
        <v>15771</v>
      </c>
      <c r="C502" s="23">
        <f t="shared" si="30"/>
        <v>8.9460294230261986E-3</v>
      </c>
      <c r="E502" s="12">
        <v>26.73</v>
      </c>
      <c r="F502" s="13">
        <f t="shared" si="31"/>
        <v>0.23912736647749031</v>
      </c>
    </row>
    <row r="503" spans="1:6" x14ac:dyDescent="0.25">
      <c r="A503" s="3" t="s">
        <v>454</v>
      </c>
      <c r="B503" s="10">
        <v>13354</v>
      </c>
      <c r="C503" s="23">
        <f t="shared" si="30"/>
        <v>7.5749969510552186E-3</v>
      </c>
      <c r="E503" s="12">
        <v>27.09</v>
      </c>
      <c r="F503" s="13">
        <f t="shared" si="31"/>
        <v>0.20520666740408586</v>
      </c>
    </row>
    <row r="504" spans="1:6" x14ac:dyDescent="0.25">
      <c r="A504" s="3" t="s">
        <v>455</v>
      </c>
      <c r="B504" s="10">
        <v>18826</v>
      </c>
      <c r="C504" s="23">
        <f t="shared" si="30"/>
        <v>1.0678964549989931E-2</v>
      </c>
      <c r="E504" s="12">
        <v>26.58</v>
      </c>
      <c r="F504" s="13">
        <f t="shared" si="31"/>
        <v>0.28384687773873235</v>
      </c>
    </row>
    <row r="505" spans="1:6" x14ac:dyDescent="0.25">
      <c r="A505" s="3" t="s">
        <v>456</v>
      </c>
      <c r="B505" s="10">
        <v>15853</v>
      </c>
      <c r="C505" s="23">
        <f t="shared" si="30"/>
        <v>8.9925435573669603E-3</v>
      </c>
      <c r="E505" s="12">
        <v>22.69</v>
      </c>
      <c r="F505" s="13">
        <f t="shared" si="31"/>
        <v>0.20404081331665633</v>
      </c>
    </row>
    <row r="506" spans="1:6" x14ac:dyDescent="0.25">
      <c r="A506" s="3" t="s">
        <v>457</v>
      </c>
      <c r="B506" s="10">
        <v>23535</v>
      </c>
      <c r="C506" s="23">
        <f t="shared" si="30"/>
        <v>1.3350123801339266E-2</v>
      </c>
      <c r="E506" s="12">
        <v>26.67</v>
      </c>
      <c r="F506" s="13">
        <f t="shared" si="31"/>
        <v>0.35604780178171824</v>
      </c>
    </row>
    <row r="507" spans="1:6" x14ac:dyDescent="0.25">
      <c r="A507" s="3" t="s">
        <v>458</v>
      </c>
      <c r="B507" s="10">
        <v>13196</v>
      </c>
      <c r="C507" s="23">
        <f t="shared" si="30"/>
        <v>7.4853721556181413E-3</v>
      </c>
      <c r="E507" s="12">
        <v>23.3</v>
      </c>
      <c r="F507" s="13">
        <f t="shared" si="31"/>
        <v>0.17440917122590269</v>
      </c>
    </row>
    <row r="508" spans="1:6" x14ac:dyDescent="0.25">
      <c r="A508" s="3" t="s">
        <v>459</v>
      </c>
      <c r="B508" s="10">
        <v>2555</v>
      </c>
      <c r="C508" s="23">
        <f t="shared" si="30"/>
        <v>1.4493123565932368E-3</v>
      </c>
      <c r="E508" s="12">
        <v>23.33</v>
      </c>
      <c r="F508" s="13">
        <f t="shared" si="31"/>
        <v>3.381245727932021E-2</v>
      </c>
    </row>
    <row r="509" spans="1:6" x14ac:dyDescent="0.25">
      <c r="A509" s="3" t="s">
        <v>460</v>
      </c>
      <c r="B509" s="10">
        <v>23735</v>
      </c>
      <c r="C509" s="23">
        <f t="shared" si="30"/>
        <v>1.3463572909487465E-2</v>
      </c>
      <c r="E509" s="12">
        <v>15.05</v>
      </c>
      <c r="F509" s="13">
        <f t="shared" si="31"/>
        <v>0.20262677228778636</v>
      </c>
    </row>
    <row r="510" spans="1:6" x14ac:dyDescent="0.25">
      <c r="A510" s="3" t="s">
        <v>461</v>
      </c>
      <c r="B510" s="10">
        <v>321</v>
      </c>
      <c r="C510" s="23">
        <f t="shared" si="30"/>
        <v>1.820858185778587E-4</v>
      </c>
      <c r="E510" s="12">
        <v>17.66</v>
      </c>
      <c r="F510" s="13">
        <f t="shared" si="31"/>
        <v>3.2156355560849846E-3</v>
      </c>
    </row>
    <row r="511" spans="1:6" x14ac:dyDescent="0.25">
      <c r="A511" s="3" t="s">
        <v>462</v>
      </c>
      <c r="B511" s="10">
        <v>4895</v>
      </c>
      <c r="C511" s="23">
        <f t="shared" si="30"/>
        <v>2.7766669219271602E-3</v>
      </c>
      <c r="E511" s="12">
        <v>24.74</v>
      </c>
      <c r="F511" s="13">
        <f t="shared" si="31"/>
        <v>6.8694739648477943E-2</v>
      </c>
    </row>
    <row r="512" spans="1:6" x14ac:dyDescent="0.25">
      <c r="A512" s="3" t="s">
        <v>463</v>
      </c>
      <c r="B512" s="10">
        <v>13924</v>
      </c>
      <c r="C512" s="23">
        <f t="shared" si="30"/>
        <v>7.8983269092775844E-3</v>
      </c>
      <c r="E512" s="12">
        <v>7.21</v>
      </c>
      <c r="F512" s="13">
        <f t="shared" si="31"/>
        <v>5.6946937015891382E-2</v>
      </c>
    </row>
    <row r="513" spans="1:6" x14ac:dyDescent="0.25">
      <c r="A513" s="3" t="s">
        <v>464</v>
      </c>
      <c r="B513" s="10">
        <v>11490</v>
      </c>
      <c r="C513" s="23">
        <f t="shared" si="30"/>
        <v>6.5176512631140082E-3</v>
      </c>
      <c r="E513" s="12">
        <v>16.309999999999999</v>
      </c>
      <c r="F513" s="13">
        <f t="shared" si="31"/>
        <v>0.10630289210138946</v>
      </c>
    </row>
    <row r="514" spans="1:6" x14ac:dyDescent="0.25">
      <c r="A514" s="3" t="s">
        <v>465</v>
      </c>
      <c r="B514" s="10">
        <v>4660</v>
      </c>
      <c r="C514" s="23">
        <f t="shared" si="30"/>
        <v>2.6433642198530269E-3</v>
      </c>
      <c r="E514" s="12">
        <v>9.74</v>
      </c>
      <c r="F514" s="13">
        <f t="shared" si="31"/>
        <v>2.5746367501368484E-2</v>
      </c>
    </row>
    <row r="515" spans="1:6" x14ac:dyDescent="0.25">
      <c r="A515" s="3" t="s">
        <v>466</v>
      </c>
      <c r="B515" s="10">
        <v>9385</v>
      </c>
      <c r="C515" s="23">
        <f t="shared" si="30"/>
        <v>5.3235993998542175E-3</v>
      </c>
      <c r="E515" s="12">
        <v>19.940000000000001</v>
      </c>
      <c r="F515" s="13">
        <f t="shared" si="31"/>
        <v>0.1061525720330931</v>
      </c>
    </row>
    <row r="516" spans="1:6" x14ac:dyDescent="0.25">
      <c r="A516" s="3" t="s">
        <v>467</v>
      </c>
      <c r="B516" s="10">
        <v>1477</v>
      </c>
      <c r="C516" s="23">
        <f t="shared" si="30"/>
        <v>8.3782166367444644E-4</v>
      </c>
      <c r="E516" s="12">
        <v>13.91</v>
      </c>
      <c r="F516" s="13">
        <f t="shared" si="31"/>
        <v>1.1654099341711551E-2</v>
      </c>
    </row>
    <row r="517" spans="1:6" x14ac:dyDescent="0.25">
      <c r="A517" s="3" t="s">
        <v>468</v>
      </c>
      <c r="B517" s="10">
        <v>10764</v>
      </c>
      <c r="C517" s="23">
        <f t="shared" si="30"/>
        <v>6.1058310005360468E-3</v>
      </c>
      <c r="E517" s="12">
        <v>7.4</v>
      </c>
      <c r="F517" s="13">
        <f t="shared" si="31"/>
        <v>4.5183149403966748E-2</v>
      </c>
    </row>
    <row r="518" spans="1:6" x14ac:dyDescent="0.25">
      <c r="A518" s="3" t="s">
        <v>469</v>
      </c>
      <c r="B518" s="10">
        <v>40549</v>
      </c>
      <c r="C518" s="23">
        <f t="shared" si="30"/>
        <v>2.3001239431506518E-2</v>
      </c>
      <c r="E518" s="12">
        <v>25.64</v>
      </c>
      <c r="F518" s="13">
        <f t="shared" si="31"/>
        <v>0.58975177902382714</v>
      </c>
    </row>
    <row r="519" spans="1:6" x14ac:dyDescent="0.25">
      <c r="A519" s="3" t="s">
        <v>470</v>
      </c>
      <c r="B519" s="10">
        <v>23838</v>
      </c>
      <c r="C519" s="23">
        <f t="shared" si="30"/>
        <v>1.3521999200183788E-2</v>
      </c>
      <c r="E519" s="12">
        <v>19.940000000000001</v>
      </c>
      <c r="F519" s="13">
        <f t="shared" si="31"/>
        <v>0.26962866405166475</v>
      </c>
    </row>
    <row r="520" spans="1:6" x14ac:dyDescent="0.25">
      <c r="A520" s="3" t="s">
        <v>471</v>
      </c>
      <c r="B520" s="10">
        <v>21450</v>
      </c>
      <c r="C520" s="23">
        <f t="shared" si="30"/>
        <v>1.2167416848894297E-2</v>
      </c>
      <c r="E520" s="12">
        <v>21.28</v>
      </c>
      <c r="F520" s="13">
        <f t="shared" si="31"/>
        <v>0.25892263054447068</v>
      </c>
    </row>
    <row r="521" spans="1:6" x14ac:dyDescent="0.25">
      <c r="A521" s="3" t="s">
        <v>472</v>
      </c>
      <c r="B521" s="10">
        <v>8469</v>
      </c>
      <c r="C521" s="23">
        <f t="shared" si="30"/>
        <v>4.8040024845354681E-3</v>
      </c>
      <c r="E521" s="12">
        <v>25.39</v>
      </c>
      <c r="F521" s="13">
        <f t="shared" si="31"/>
        <v>0.12197362308235554</v>
      </c>
    </row>
    <row r="522" spans="1:6" x14ac:dyDescent="0.25">
      <c r="A522" s="3" t="s">
        <v>473</v>
      </c>
      <c r="B522" s="10">
        <v>20255</v>
      </c>
      <c r="C522" s="23">
        <f t="shared" si="30"/>
        <v>1.148955842770881E-2</v>
      </c>
      <c r="E522" s="12">
        <v>17.89</v>
      </c>
      <c r="F522" s="13">
        <f t="shared" si="31"/>
        <v>0.20554820027171061</v>
      </c>
    </row>
    <row r="523" spans="1:6" x14ac:dyDescent="0.25">
      <c r="A523" s="3" t="s">
        <v>474</v>
      </c>
      <c r="B523" s="10">
        <v>3426</v>
      </c>
      <c r="C523" s="23">
        <f t="shared" si="30"/>
        <v>1.9433832225786414E-3</v>
      </c>
      <c r="E523" s="12">
        <v>27.5</v>
      </c>
      <c r="F523" s="13">
        <f t="shared" si="31"/>
        <v>5.3443038620912639E-2</v>
      </c>
    </row>
    <row r="524" spans="1:6" x14ac:dyDescent="0.25">
      <c r="A524" s="3" t="s">
        <v>475</v>
      </c>
      <c r="B524" s="10">
        <v>1197</v>
      </c>
      <c r="C524" s="23">
        <f t="shared" si="30"/>
        <v>6.7899291226696846E-4</v>
      </c>
      <c r="E524" s="12">
        <v>27.18</v>
      </c>
      <c r="F524" s="13">
        <f t="shared" si="31"/>
        <v>1.8455027355416202E-2</v>
      </c>
    </row>
    <row r="525" spans="1:6" x14ac:dyDescent="0.25">
      <c r="A525" s="3" t="s">
        <v>476</v>
      </c>
      <c r="B525" s="10">
        <v>17086</v>
      </c>
      <c r="C525" s="23">
        <f t="shared" si="30"/>
        <v>9.6919573091006038E-3</v>
      </c>
      <c r="E525" s="12">
        <v>20.79</v>
      </c>
      <c r="F525" s="13">
        <f t="shared" si="31"/>
        <v>0.20149579245620156</v>
      </c>
    </row>
    <row r="526" spans="1:6" x14ac:dyDescent="0.25">
      <c r="A526" s="3" t="s">
        <v>477</v>
      </c>
      <c r="B526" s="10">
        <v>7286</v>
      </c>
      <c r="C526" s="23">
        <f t="shared" si="30"/>
        <v>4.1329510098388738E-3</v>
      </c>
      <c r="E526" s="12">
        <v>18.489999999999998</v>
      </c>
      <c r="F526" s="13">
        <f t="shared" si="31"/>
        <v>7.6418264171920769E-2</v>
      </c>
    </row>
    <row r="527" spans="1:6" x14ac:dyDescent="0.25">
      <c r="A527" s="3" t="s">
        <v>478</v>
      </c>
      <c r="B527" s="10">
        <v>1049</v>
      </c>
      <c r="C527" s="23">
        <f t="shared" si="30"/>
        <v>5.9504057223730151E-4</v>
      </c>
      <c r="E527" s="12">
        <v>22.69</v>
      </c>
      <c r="F527" s="13">
        <f t="shared" si="31"/>
        <v>1.3501470584064371E-2</v>
      </c>
    </row>
    <row r="528" spans="1:6" x14ac:dyDescent="0.25">
      <c r="A528" s="3" t="s">
        <v>479</v>
      </c>
      <c r="B528" s="10">
        <v>9330</v>
      </c>
      <c r="C528" s="23">
        <f t="shared" si="30"/>
        <v>5.2924008951134634E-3</v>
      </c>
      <c r="E528" s="12">
        <v>24.97</v>
      </c>
      <c r="F528" s="13">
        <f t="shared" si="31"/>
        <v>0.13215125035098318</v>
      </c>
    </row>
    <row r="529" spans="1:6" x14ac:dyDescent="0.25">
      <c r="A529" s="3" t="s">
        <v>480</v>
      </c>
      <c r="B529" s="10">
        <v>1220</v>
      </c>
      <c r="C529" s="23">
        <f t="shared" si="30"/>
        <v>6.9203955970401131E-4</v>
      </c>
      <c r="E529" s="12">
        <v>23</v>
      </c>
      <c r="F529" s="13">
        <f t="shared" si="31"/>
        <v>1.5916909873192261E-2</v>
      </c>
    </row>
    <row r="530" spans="1:6" x14ac:dyDescent="0.25">
      <c r="A530" s="3" t="s">
        <v>481</v>
      </c>
      <c r="B530" s="10">
        <v>10929</v>
      </c>
      <c r="C530" s="23">
        <f t="shared" si="30"/>
        <v>6.1994265147583107E-3</v>
      </c>
      <c r="E530" s="12">
        <v>20.61</v>
      </c>
      <c r="F530" s="13">
        <f t="shared" si="31"/>
        <v>0.12777018046916877</v>
      </c>
    </row>
    <row r="531" spans="1:6" x14ac:dyDescent="0.25">
      <c r="A531" s="3" t="s">
        <v>482</v>
      </c>
      <c r="B531" s="10">
        <v>15464</v>
      </c>
      <c r="C531" s="23">
        <f t="shared" si="30"/>
        <v>8.7718850420187133E-3</v>
      </c>
      <c r="E531" s="12">
        <v>16.77</v>
      </c>
      <c r="F531" s="13">
        <f t="shared" si="31"/>
        <v>0.14710451215465381</v>
      </c>
    </row>
    <row r="532" spans="1:6" x14ac:dyDescent="0.25">
      <c r="A532" s="3" t="s">
        <v>483</v>
      </c>
      <c r="B532" s="10">
        <v>9922</v>
      </c>
      <c r="C532" s="23">
        <f t="shared" si="30"/>
        <v>5.6282102552321312E-3</v>
      </c>
      <c r="E532" s="12">
        <v>20.38</v>
      </c>
      <c r="F532" s="13">
        <f t="shared" si="31"/>
        <v>0.11470292500163083</v>
      </c>
    </row>
    <row r="533" spans="1:6" x14ac:dyDescent="0.25">
      <c r="A533" s="3" t="s">
        <v>484</v>
      </c>
      <c r="B533" s="10">
        <v>15330</v>
      </c>
      <c r="C533" s="23">
        <f t="shared" si="30"/>
        <v>8.6958741395594206E-3</v>
      </c>
      <c r="E533" s="12">
        <v>20.23</v>
      </c>
      <c r="F533" s="13">
        <f t="shared" si="31"/>
        <v>0.17591753384328709</v>
      </c>
    </row>
    <row r="534" spans="1:6" x14ac:dyDescent="0.25">
      <c r="A534" s="3" t="s">
        <v>485</v>
      </c>
      <c r="B534" s="10">
        <v>17087</v>
      </c>
      <c r="C534" s="23">
        <f t="shared" si="30"/>
        <v>9.6925245546413442E-3</v>
      </c>
      <c r="E534" s="12">
        <v>17.71</v>
      </c>
      <c r="F534" s="13">
        <f t="shared" si="31"/>
        <v>0.1716546098626982</v>
      </c>
    </row>
    <row r="535" spans="1:6" x14ac:dyDescent="0.25">
      <c r="A535" s="3" t="s">
        <v>486</v>
      </c>
      <c r="B535" s="10">
        <v>5063</v>
      </c>
      <c r="C535" s="23">
        <f t="shared" si="30"/>
        <v>2.8719641727716467E-3</v>
      </c>
      <c r="E535" s="12">
        <v>24.19</v>
      </c>
      <c r="F535" s="13">
        <f t="shared" si="31"/>
        <v>6.9472813339346143E-2</v>
      </c>
    </row>
    <row r="536" spans="1:6" x14ac:dyDescent="0.25">
      <c r="A536" s="3" t="s">
        <v>487</v>
      </c>
      <c r="B536" s="10">
        <v>8646</v>
      </c>
      <c r="C536" s="23">
        <f t="shared" si="30"/>
        <v>4.9044049452466243E-3</v>
      </c>
      <c r="E536" s="12">
        <v>21.83</v>
      </c>
      <c r="F536" s="13">
        <f t="shared" si="31"/>
        <v>0.1070631599547338</v>
      </c>
    </row>
    <row r="537" spans="1:6" x14ac:dyDescent="0.25">
      <c r="A537" s="3" t="s">
        <v>488</v>
      </c>
      <c r="B537" s="10">
        <v>11739</v>
      </c>
      <c r="C537" s="23">
        <f t="shared" si="30"/>
        <v>6.6588954027585147E-3</v>
      </c>
      <c r="E537" s="12">
        <v>27.32</v>
      </c>
      <c r="F537" s="13">
        <f t="shared" si="31"/>
        <v>0.18192102240336261</v>
      </c>
    </row>
    <row r="538" spans="1:6" x14ac:dyDescent="0.25">
      <c r="A538" s="3" t="s">
        <v>489</v>
      </c>
      <c r="B538" s="10">
        <v>13247</v>
      </c>
      <c r="C538" s="23">
        <f t="shared" si="30"/>
        <v>7.5143016781959327E-3</v>
      </c>
      <c r="E538" s="12">
        <v>14.38</v>
      </c>
      <c r="F538" s="13">
        <f t="shared" si="31"/>
        <v>0.10805565813245752</v>
      </c>
    </row>
    <row r="539" spans="1:6" x14ac:dyDescent="0.25">
      <c r="A539" s="3" t="s">
        <v>490</v>
      </c>
      <c r="B539" s="10">
        <v>9492</v>
      </c>
      <c r="C539" s="23">
        <f t="shared" si="30"/>
        <v>5.3842946727135042E-3</v>
      </c>
      <c r="E539" s="12">
        <v>22.58</v>
      </c>
      <c r="F539" s="13">
        <f t="shared" si="31"/>
        <v>0.12157737370987091</v>
      </c>
    </row>
    <row r="540" spans="1:6" x14ac:dyDescent="0.25">
      <c r="A540" s="3" t="s">
        <v>491</v>
      </c>
      <c r="B540" s="10">
        <v>8545</v>
      </c>
      <c r="C540" s="23">
        <f t="shared" si="30"/>
        <v>4.8471131456317837E-3</v>
      </c>
      <c r="E540" s="12">
        <v>22.08</v>
      </c>
      <c r="F540" s="13">
        <f t="shared" si="31"/>
        <v>0.10702425825554977</v>
      </c>
    </row>
    <row r="541" spans="1:6" x14ac:dyDescent="0.25">
      <c r="A541" s="3" t="s">
        <v>492</v>
      </c>
      <c r="B541" s="10">
        <v>8824</v>
      </c>
      <c r="C541" s="23">
        <f t="shared" si="30"/>
        <v>5.0053746514985209E-3</v>
      </c>
      <c r="E541" s="12">
        <v>22.03</v>
      </c>
      <c r="F541" s="13">
        <f t="shared" si="31"/>
        <v>0.11026840357251241</v>
      </c>
    </row>
    <row r="542" spans="1:6" x14ac:dyDescent="0.25">
      <c r="A542" s="3" t="s">
        <v>493</v>
      </c>
      <c r="B542" s="10">
        <v>3065</v>
      </c>
      <c r="C542" s="23">
        <f t="shared" si="30"/>
        <v>1.7386075823711431E-3</v>
      </c>
      <c r="E542" s="12">
        <v>25</v>
      </c>
      <c r="F542" s="13">
        <f t="shared" si="31"/>
        <v>4.3465189559278576E-2</v>
      </c>
    </row>
    <row r="543" spans="1:6" x14ac:dyDescent="0.25">
      <c r="A543" s="3" t="s">
        <v>494</v>
      </c>
      <c r="B543" s="10">
        <v>2103</v>
      </c>
      <c r="C543" s="23">
        <f t="shared" si="30"/>
        <v>1.1929173721783079E-3</v>
      </c>
      <c r="E543" s="12">
        <v>19.46</v>
      </c>
      <c r="F543" s="13">
        <f t="shared" si="31"/>
        <v>2.3214172062589872E-2</v>
      </c>
    </row>
    <row r="544" spans="1:6" x14ac:dyDescent="0.25">
      <c r="A544" s="3" t="s">
        <v>495</v>
      </c>
      <c r="B544" s="10">
        <v>1334</v>
      </c>
      <c r="C544" s="23">
        <f t="shared" si="30"/>
        <v>7.5670555134848443E-4</v>
      </c>
      <c r="E544" s="12">
        <v>26.17</v>
      </c>
      <c r="F544" s="13">
        <f t="shared" si="31"/>
        <v>1.9802984278789838E-2</v>
      </c>
    </row>
    <row r="545" spans="1:6" x14ac:dyDescent="0.25">
      <c r="A545" s="3" t="s">
        <v>496</v>
      </c>
      <c r="B545" s="10">
        <v>8941</v>
      </c>
      <c r="C545" s="23">
        <f t="shared" si="30"/>
        <v>5.0717423797652173E-3</v>
      </c>
      <c r="E545" s="12">
        <v>24.1</v>
      </c>
      <c r="F545" s="13">
        <f t="shared" si="31"/>
        <v>0.12222899135234175</v>
      </c>
    </row>
    <row r="546" spans="1:6" x14ac:dyDescent="0.25">
      <c r="A546" s="3" t="s">
        <v>497</v>
      </c>
      <c r="B546" s="10">
        <v>16024</v>
      </c>
      <c r="C546" s="23">
        <f t="shared" si="30"/>
        <v>9.0895425448336686E-3</v>
      </c>
      <c r="E546" s="12">
        <v>18.64</v>
      </c>
      <c r="F546" s="13">
        <f t="shared" si="31"/>
        <v>0.1694290730356996</v>
      </c>
    </row>
    <row r="547" spans="1:6" x14ac:dyDescent="0.25">
      <c r="A547" s="3" t="s">
        <v>498</v>
      </c>
      <c r="B547" s="10">
        <v>13993</v>
      </c>
      <c r="C547" s="23">
        <f t="shared" si="30"/>
        <v>7.9374668515887134E-3</v>
      </c>
      <c r="E547" s="12">
        <v>17.190000000000001</v>
      </c>
      <c r="F547" s="13">
        <f t="shared" si="31"/>
        <v>0.13644505517881</v>
      </c>
    </row>
    <row r="548" spans="1:6" x14ac:dyDescent="0.25">
      <c r="A548" s="3" t="s">
        <v>499</v>
      </c>
      <c r="B548" s="10">
        <v>15515</v>
      </c>
      <c r="C548" s="23">
        <f t="shared" si="30"/>
        <v>8.8008145645965038E-3</v>
      </c>
      <c r="E548" s="12">
        <v>26.78</v>
      </c>
      <c r="F548" s="13">
        <f t="shared" si="31"/>
        <v>0.23568581403989439</v>
      </c>
    </row>
    <row r="549" spans="1:6" x14ac:dyDescent="0.25">
      <c r="A549" s="3" t="s">
        <v>500</v>
      </c>
      <c r="B549" s="10">
        <f>4682</f>
        <v>4682</v>
      </c>
      <c r="C549" s="23">
        <f t="shared" si="30"/>
        <v>2.6558436217493284E-3</v>
      </c>
      <c r="E549" s="12">
        <v>25.97</v>
      </c>
      <c r="F549" s="13">
        <f t="shared" si="31"/>
        <v>6.897225885683006E-2</v>
      </c>
    </row>
    <row r="550" spans="1:6" x14ac:dyDescent="0.25">
      <c r="A550" s="3" t="s">
        <v>501</v>
      </c>
      <c r="B550" s="10">
        <v>9317</v>
      </c>
      <c r="C550" s="23">
        <f t="shared" si="30"/>
        <v>5.2850267030838307E-3</v>
      </c>
      <c r="E550" s="12">
        <v>22.26</v>
      </c>
      <c r="F550" s="13">
        <f t="shared" si="31"/>
        <v>0.11764469441064608</v>
      </c>
    </row>
    <row r="551" spans="1:6" x14ac:dyDescent="0.25">
      <c r="A551" s="3" t="s">
        <v>502</v>
      </c>
      <c r="B551" s="10">
        <v>22531</v>
      </c>
      <c r="C551" s="23">
        <f t="shared" si="30"/>
        <v>1.278060927843531E-2</v>
      </c>
      <c r="E551" s="12">
        <v>21.9</v>
      </c>
      <c r="F551" s="13">
        <f t="shared" si="31"/>
        <v>0.27989534319773324</v>
      </c>
    </row>
    <row r="552" spans="1:6" x14ac:dyDescent="0.25">
      <c r="A552" s="3" t="s">
        <v>503</v>
      </c>
      <c r="B552" s="10">
        <v>6032</v>
      </c>
      <c r="C552" s="23">
        <f t="shared" si="30"/>
        <v>3.4216251017496688E-3</v>
      </c>
      <c r="E552" s="12">
        <v>22.93</v>
      </c>
      <c r="F552" s="13">
        <f t="shared" si="31"/>
        <v>7.8457863583119902E-2</v>
      </c>
    </row>
    <row r="553" spans="1:6" x14ac:dyDescent="0.25">
      <c r="A553" s="3" t="s">
        <v>504</v>
      </c>
      <c r="B553" s="10">
        <v>19711</v>
      </c>
      <c r="C553" s="23">
        <f t="shared" si="30"/>
        <v>1.118097685354571E-2</v>
      </c>
      <c r="E553" s="12">
        <v>17.21</v>
      </c>
      <c r="F553" s="13">
        <f t="shared" si="31"/>
        <v>0.19242461164952168</v>
      </c>
    </row>
    <row r="554" spans="1:6" x14ac:dyDescent="0.25">
      <c r="A554" s="3" t="s">
        <v>505</v>
      </c>
      <c r="B554" s="10">
        <v>8018</v>
      </c>
      <c r="C554" s="23">
        <f t="shared" si="30"/>
        <v>4.5481747456612804E-3</v>
      </c>
      <c r="E554" s="12">
        <v>24.84</v>
      </c>
      <c r="F554" s="13">
        <f t="shared" si="31"/>
        <v>0.1129766606822262</v>
      </c>
    </row>
    <row r="555" spans="1:6" x14ac:dyDescent="0.25">
      <c r="A555" s="3" t="s">
        <v>506</v>
      </c>
      <c r="B555" s="10">
        <v>9965</v>
      </c>
      <c r="C555" s="23">
        <f t="shared" si="30"/>
        <v>5.6526018134839939E-3</v>
      </c>
      <c r="E555" s="12">
        <v>19.670000000000002</v>
      </c>
      <c r="F555" s="13">
        <f t="shared" si="31"/>
        <v>0.11118667767123017</v>
      </c>
    </row>
    <row r="556" spans="1:6" x14ac:dyDescent="0.25">
      <c r="A556" s="3" t="s">
        <v>507</v>
      </c>
      <c r="B556" s="10">
        <v>10546</v>
      </c>
      <c r="C556" s="23">
        <f t="shared" si="30"/>
        <v>5.9821714726545107E-3</v>
      </c>
      <c r="E556" s="12">
        <v>17.86</v>
      </c>
      <c r="F556" s="13">
        <f t="shared" si="31"/>
        <v>0.10684158250160956</v>
      </c>
    </row>
    <row r="557" spans="1:6" x14ac:dyDescent="0.25">
      <c r="A557" s="3" t="s">
        <v>508</v>
      </c>
      <c r="B557" s="10">
        <v>21507</v>
      </c>
      <c r="C557" s="23">
        <f t="shared" si="30"/>
        <v>1.2199749844716534E-2</v>
      </c>
      <c r="E557" s="12">
        <v>22.94</v>
      </c>
      <c r="F557" s="13">
        <f t="shared" si="31"/>
        <v>0.2798622614377973</v>
      </c>
    </row>
    <row r="558" spans="1:6" x14ac:dyDescent="0.25">
      <c r="A558" s="3" t="s">
        <v>509</v>
      </c>
      <c r="B558" s="10">
        <v>11908</v>
      </c>
      <c r="C558" s="23">
        <f t="shared" si="30"/>
        <v>6.7547598991437429E-3</v>
      </c>
      <c r="E558" s="12">
        <v>16.25</v>
      </c>
      <c r="F558" s="13">
        <f t="shared" si="31"/>
        <v>0.10976484836108583</v>
      </c>
    </row>
    <row r="559" spans="1:6" x14ac:dyDescent="0.25">
      <c r="A559" s="3" t="s">
        <v>510</v>
      </c>
      <c r="B559" s="10">
        <v>29743</v>
      </c>
      <c r="C559" s="23">
        <f t="shared" si="30"/>
        <v>1.6871584118259349E-2</v>
      </c>
      <c r="E559" s="12">
        <v>18.36</v>
      </c>
      <c r="F559" s="13">
        <f t="shared" si="31"/>
        <v>0.30976228441124165</v>
      </c>
    </row>
    <row r="560" spans="1:6" x14ac:dyDescent="0.25">
      <c r="A560" s="3" t="s">
        <v>511</v>
      </c>
      <c r="B560" s="10">
        <v>2440</v>
      </c>
      <c r="C560" s="23">
        <f t="shared" ref="C560:C593" si="32">B560/B$593</f>
        <v>1.3840791194080226E-3</v>
      </c>
      <c r="E560" s="12">
        <v>22.07</v>
      </c>
      <c r="F560" s="13">
        <f t="shared" ref="F560:F592" si="33">E560*C560</f>
        <v>3.0546626165335058E-2</v>
      </c>
    </row>
    <row r="561" spans="1:6" x14ac:dyDescent="0.25">
      <c r="A561" s="3" t="s">
        <v>512</v>
      </c>
      <c r="B561" s="10">
        <v>11697</v>
      </c>
      <c r="C561" s="23">
        <f t="shared" si="32"/>
        <v>6.6350710900473934E-3</v>
      </c>
      <c r="E561" s="12">
        <v>22.29</v>
      </c>
      <c r="F561" s="13">
        <f t="shared" si="33"/>
        <v>0.14789573459715638</v>
      </c>
    </row>
    <row r="562" spans="1:6" x14ac:dyDescent="0.25">
      <c r="A562" s="3" t="s">
        <v>513</v>
      </c>
      <c r="B562" s="10">
        <v>9189</v>
      </c>
      <c r="C562" s="23">
        <f t="shared" si="32"/>
        <v>5.2124192738689833E-3</v>
      </c>
      <c r="E562" s="12">
        <v>25.05</v>
      </c>
      <c r="F562" s="13">
        <f t="shared" si="33"/>
        <v>0.13057110281041803</v>
      </c>
    </row>
    <row r="563" spans="1:6" x14ac:dyDescent="0.25">
      <c r="A563" s="3" t="s">
        <v>514</v>
      </c>
      <c r="B563" s="10">
        <v>17306</v>
      </c>
      <c r="C563" s="23">
        <f t="shared" si="32"/>
        <v>9.8167513280636217E-3</v>
      </c>
      <c r="E563" s="12">
        <v>21.19</v>
      </c>
      <c r="F563" s="13">
        <f t="shared" si="33"/>
        <v>0.20801696064166816</v>
      </c>
    </row>
    <row r="564" spans="1:6" x14ac:dyDescent="0.25">
      <c r="A564" s="3" t="s">
        <v>515</v>
      </c>
      <c r="B564" s="10">
        <v>8093</v>
      </c>
      <c r="C564" s="23">
        <f t="shared" si="32"/>
        <v>4.5907181612168555E-3</v>
      </c>
      <c r="E564" s="12">
        <v>19.79</v>
      </c>
      <c r="F564" s="13">
        <f t="shared" si="33"/>
        <v>9.0850312410481568E-2</v>
      </c>
    </row>
    <row r="565" spans="1:6" x14ac:dyDescent="0.25">
      <c r="A565" s="3" t="s">
        <v>516</v>
      </c>
      <c r="B565" s="10">
        <v>11170</v>
      </c>
      <c r="C565" s="23">
        <f t="shared" si="32"/>
        <v>6.3361326900768901E-3</v>
      </c>
      <c r="E565" s="12">
        <v>20.48</v>
      </c>
      <c r="F565" s="13">
        <f t="shared" si="33"/>
        <v>0.1297639974927747</v>
      </c>
    </row>
    <row r="566" spans="1:6" x14ac:dyDescent="0.25">
      <c r="A566" s="3" t="s">
        <v>517</v>
      </c>
      <c r="B566" s="10">
        <v>9003</v>
      </c>
      <c r="C566" s="23">
        <f t="shared" si="32"/>
        <v>5.1069116032911588E-3</v>
      </c>
      <c r="E566" s="12">
        <v>24.54</v>
      </c>
      <c r="F566" s="13">
        <f t="shared" si="33"/>
        <v>0.12532361074476503</v>
      </c>
    </row>
    <row r="567" spans="1:6" x14ac:dyDescent="0.25">
      <c r="A567" s="3" t="s">
        <v>518</v>
      </c>
      <c r="B567" s="10">
        <v>11638</v>
      </c>
      <c r="C567" s="23">
        <f t="shared" si="32"/>
        <v>6.6016036031436749E-3</v>
      </c>
      <c r="E567" s="12">
        <v>23.65</v>
      </c>
      <c r="F567" s="13">
        <f t="shared" si="33"/>
        <v>0.1561279252143479</v>
      </c>
    </row>
    <row r="568" spans="1:6" x14ac:dyDescent="0.25">
      <c r="A568" s="3" t="s">
        <v>519</v>
      </c>
      <c r="B568" s="10">
        <v>8850</v>
      </c>
      <c r="C568" s="23">
        <f t="shared" si="32"/>
        <v>5.0201230355577863E-3</v>
      </c>
      <c r="E568" s="12">
        <v>20.09</v>
      </c>
      <c r="F568" s="13">
        <f t="shared" si="33"/>
        <v>0.10085427178435592</v>
      </c>
    </row>
    <row r="569" spans="1:6" x14ac:dyDescent="0.25">
      <c r="A569" s="3" t="s">
        <v>520</v>
      </c>
      <c r="B569" s="10">
        <v>18865</v>
      </c>
      <c r="C569" s="23">
        <f t="shared" si="32"/>
        <v>1.0701087126078829E-2</v>
      </c>
      <c r="E569" s="12">
        <v>24.74</v>
      </c>
      <c r="F569" s="13">
        <f t="shared" si="33"/>
        <v>0.26474489549919022</v>
      </c>
    </row>
    <row r="570" spans="1:6" x14ac:dyDescent="0.25">
      <c r="A570" s="3" t="s">
        <v>521</v>
      </c>
      <c r="B570" s="10">
        <v>13036</v>
      </c>
      <c r="C570" s="23">
        <f t="shared" si="32"/>
        <v>7.3946128690995832E-3</v>
      </c>
      <c r="E570" s="12">
        <v>23.77</v>
      </c>
      <c r="F570" s="13">
        <f t="shared" si="33"/>
        <v>0.17576994789849709</v>
      </c>
    </row>
    <row r="571" spans="1:6" x14ac:dyDescent="0.25">
      <c r="A571" s="3" t="s">
        <v>522</v>
      </c>
      <c r="B571" s="10">
        <v>14878</v>
      </c>
      <c r="C571" s="23">
        <f t="shared" si="32"/>
        <v>8.4394791551444925E-3</v>
      </c>
      <c r="E571" s="12">
        <v>22.66</v>
      </c>
      <c r="F571" s="13">
        <f t="shared" si="33"/>
        <v>0.19123859765557419</v>
      </c>
    </row>
    <row r="572" spans="1:6" x14ac:dyDescent="0.25">
      <c r="A572" s="3" t="s">
        <v>523</v>
      </c>
      <c r="B572" s="10">
        <v>15272</v>
      </c>
      <c r="C572" s="23">
        <f t="shared" si="32"/>
        <v>8.6629738981964435E-3</v>
      </c>
      <c r="E572" s="12">
        <v>25.55</v>
      </c>
      <c r="F572" s="13">
        <f t="shared" si="33"/>
        <v>0.22133898309891914</v>
      </c>
    </row>
    <row r="573" spans="1:6" x14ac:dyDescent="0.25">
      <c r="A573" s="3" t="s">
        <v>524</v>
      </c>
      <c r="B573" s="10">
        <v>19137</v>
      </c>
      <c r="C573" s="23">
        <f t="shared" si="32"/>
        <v>1.085537791316038E-2</v>
      </c>
      <c r="E573" s="12">
        <v>22.68</v>
      </c>
      <c r="F573" s="13">
        <f t="shared" si="33"/>
        <v>0.24619997107047742</v>
      </c>
    </row>
    <row r="574" spans="1:6" x14ac:dyDescent="0.25">
      <c r="A574" s="3" t="s">
        <v>525</v>
      </c>
      <c r="B574" s="10">
        <v>24485</v>
      </c>
      <c r="C574" s="23">
        <f t="shared" si="32"/>
        <v>1.388900706504321E-2</v>
      </c>
      <c r="E574" s="12">
        <v>26.09</v>
      </c>
      <c r="F574" s="13">
        <f t="shared" si="33"/>
        <v>0.36236419432697736</v>
      </c>
    </row>
    <row r="575" spans="1:6" x14ac:dyDescent="0.25">
      <c r="A575" s="3" t="s">
        <v>526</v>
      </c>
      <c r="B575" s="10">
        <v>8607</v>
      </c>
      <c r="C575" s="23">
        <f t="shared" si="32"/>
        <v>4.8822823691577252E-3</v>
      </c>
      <c r="E575" s="12">
        <v>15.59</v>
      </c>
      <c r="F575" s="13">
        <f t="shared" si="33"/>
        <v>7.6114782135168937E-2</v>
      </c>
    </row>
    <row r="576" spans="1:6" x14ac:dyDescent="0.25">
      <c r="A576" s="3" t="s">
        <v>527</v>
      </c>
      <c r="B576" s="10">
        <v>25832</v>
      </c>
      <c r="C576" s="23">
        <f t="shared" si="32"/>
        <v>1.4653086808421327E-2</v>
      </c>
      <c r="E576" s="12">
        <v>18.36</v>
      </c>
      <c r="F576" s="13">
        <f t="shared" si="33"/>
        <v>0.26903067380261558</v>
      </c>
    </row>
    <row r="577" spans="1:6" x14ac:dyDescent="0.25">
      <c r="A577" s="3" t="s">
        <v>528</v>
      </c>
      <c r="B577" s="10">
        <v>6377</v>
      </c>
      <c r="C577" s="23">
        <f t="shared" si="32"/>
        <v>3.6173248133053114E-3</v>
      </c>
      <c r="E577" s="12">
        <v>17.100000000000001</v>
      </c>
      <c r="F577" s="13">
        <f t="shared" si="33"/>
        <v>6.1856254307520828E-2</v>
      </c>
    </row>
    <row r="578" spans="1:6" x14ac:dyDescent="0.25">
      <c r="A578" s="3" t="s">
        <v>529</v>
      </c>
      <c r="B578" s="10">
        <v>11910</v>
      </c>
      <c r="C578" s="23">
        <f t="shared" si="32"/>
        <v>6.7558943902252247E-3</v>
      </c>
      <c r="E578" s="12">
        <v>12.56</v>
      </c>
      <c r="F578" s="13">
        <f t="shared" si="33"/>
        <v>8.4854033541228821E-2</v>
      </c>
    </row>
    <row r="579" spans="1:6" x14ac:dyDescent="0.25">
      <c r="A579" s="3" t="s">
        <v>530</v>
      </c>
      <c r="B579" s="10">
        <v>11345</v>
      </c>
      <c r="C579" s="23">
        <f t="shared" si="32"/>
        <v>6.4354006597065637E-3</v>
      </c>
      <c r="E579" s="12">
        <v>15.04</v>
      </c>
      <c r="F579" s="13">
        <f t="shared" si="33"/>
        <v>9.6788425921986707E-2</v>
      </c>
    </row>
    <row r="580" spans="1:6" x14ac:dyDescent="0.25">
      <c r="A580" s="3" t="s">
        <v>531</v>
      </c>
      <c r="B580" s="10">
        <v>9376</v>
      </c>
      <c r="C580" s="23">
        <f t="shared" si="32"/>
        <v>5.3184941899875491E-3</v>
      </c>
      <c r="E580" s="12">
        <v>20.02</v>
      </c>
      <c r="F580" s="13">
        <f t="shared" si="33"/>
        <v>0.10647625368355074</v>
      </c>
    </row>
    <row r="581" spans="1:6" x14ac:dyDescent="0.25">
      <c r="A581" s="3" t="s">
        <v>532</v>
      </c>
      <c r="B581" s="10">
        <v>9026</v>
      </c>
      <c r="C581" s="23">
        <f t="shared" si="32"/>
        <v>5.1199582507282012E-3</v>
      </c>
      <c r="E581" s="12">
        <v>25.83</v>
      </c>
      <c r="F581" s="13">
        <f t="shared" si="33"/>
        <v>0.13224852161630943</v>
      </c>
    </row>
    <row r="582" spans="1:6" x14ac:dyDescent="0.25">
      <c r="A582" s="3" t="s">
        <v>533</v>
      </c>
      <c r="B582" s="10">
        <v>9905</v>
      </c>
      <c r="C582" s="23">
        <f t="shared" si="32"/>
        <v>5.6185670810395341E-3</v>
      </c>
      <c r="E582" s="12">
        <v>16.88</v>
      </c>
      <c r="F582" s="13">
        <f t="shared" si="33"/>
        <v>9.4841412327947336E-2</v>
      </c>
    </row>
    <row r="583" spans="1:6" x14ac:dyDescent="0.25">
      <c r="A583" s="3" t="s">
        <v>534</v>
      </c>
      <c r="B583" s="10">
        <v>1463</v>
      </c>
      <c r="C583" s="23">
        <f t="shared" si="32"/>
        <v>8.2988022610407249E-4</v>
      </c>
      <c r="E583" s="12">
        <v>17.46</v>
      </c>
      <c r="F583" s="13">
        <f t="shared" si="33"/>
        <v>1.4489708747777106E-2</v>
      </c>
    </row>
    <row r="584" spans="1:6" x14ac:dyDescent="0.25">
      <c r="A584" s="3" t="s">
        <v>535</v>
      </c>
      <c r="B584" s="10">
        <v>8433</v>
      </c>
      <c r="C584" s="23">
        <f t="shared" si="32"/>
        <v>4.7835816450687929E-3</v>
      </c>
      <c r="E584" s="12">
        <v>18.670000000000002</v>
      </c>
      <c r="F584" s="13">
        <f t="shared" si="33"/>
        <v>8.9309469313434378E-2</v>
      </c>
    </row>
    <row r="585" spans="1:6" x14ac:dyDescent="0.25">
      <c r="A585" s="3" t="s">
        <v>536</v>
      </c>
      <c r="B585" s="10">
        <v>11357</v>
      </c>
      <c r="C585" s="23">
        <f t="shared" si="32"/>
        <v>6.442207606195456E-3</v>
      </c>
      <c r="E585" s="12">
        <v>18.5</v>
      </c>
      <c r="F585" s="13">
        <f t="shared" si="33"/>
        <v>0.11918084071461593</v>
      </c>
    </row>
    <row r="586" spans="1:6" x14ac:dyDescent="0.25">
      <c r="A586" s="3" t="s">
        <v>537</v>
      </c>
      <c r="B586" s="10">
        <v>10251</v>
      </c>
      <c r="C586" s="23">
        <f t="shared" si="32"/>
        <v>5.8148340381359177E-3</v>
      </c>
      <c r="E586" s="12">
        <v>18.989999999999998</v>
      </c>
      <c r="F586" s="13">
        <f t="shared" si="33"/>
        <v>0.11042369838420106</v>
      </c>
    </row>
    <row r="587" spans="1:6" x14ac:dyDescent="0.25">
      <c r="A587" s="3" t="s">
        <v>538</v>
      </c>
      <c r="B587" s="10">
        <v>13465</v>
      </c>
      <c r="C587" s="23">
        <f t="shared" si="32"/>
        <v>7.6379612060774689E-3</v>
      </c>
      <c r="E587" s="12">
        <v>20.94</v>
      </c>
      <c r="F587" s="13">
        <f t="shared" si="33"/>
        <v>0.1599389076552622</v>
      </c>
    </row>
    <row r="588" spans="1:6" x14ac:dyDescent="0.25">
      <c r="A588" s="3" t="s">
        <v>539</v>
      </c>
      <c r="B588" s="10">
        <v>11860</v>
      </c>
      <c r="C588" s="23">
        <f t="shared" si="32"/>
        <v>6.7275321131881755E-3</v>
      </c>
      <c r="E588" s="12">
        <v>20.54</v>
      </c>
      <c r="F588" s="13">
        <f t="shared" si="33"/>
        <v>0.13818350960488512</v>
      </c>
    </row>
    <row r="589" spans="1:6" x14ac:dyDescent="0.25">
      <c r="A589" s="3" t="s">
        <v>540</v>
      </c>
      <c r="B589" s="10">
        <v>13472</v>
      </c>
      <c r="C589" s="23">
        <f t="shared" si="32"/>
        <v>7.6419319248626555E-3</v>
      </c>
      <c r="E589" s="12">
        <v>18.850000000000001</v>
      </c>
      <c r="F589" s="13">
        <f t="shared" si="33"/>
        <v>0.14405041678366107</v>
      </c>
    </row>
    <row r="590" spans="1:6" x14ac:dyDescent="0.25">
      <c r="A590" s="3" t="s">
        <v>541</v>
      </c>
      <c r="B590" s="10">
        <v>12499</v>
      </c>
      <c r="C590" s="23">
        <f t="shared" si="32"/>
        <v>7.0900020137216694E-3</v>
      </c>
      <c r="E590" s="12">
        <v>22.12</v>
      </c>
      <c r="F590" s="13">
        <f t="shared" si="33"/>
        <v>0.15683084454352333</v>
      </c>
    </row>
    <row r="591" spans="1:6" x14ac:dyDescent="0.25">
      <c r="A591" s="3" t="s">
        <v>542</v>
      </c>
      <c r="B591" s="10">
        <v>14684</v>
      </c>
      <c r="C591" s="23">
        <f t="shared" si="32"/>
        <v>8.3294335202407383E-3</v>
      </c>
      <c r="E591" s="12">
        <v>22.64</v>
      </c>
      <c r="F591" s="13">
        <f t="shared" si="33"/>
        <v>0.18857837489825033</v>
      </c>
    </row>
    <row r="592" spans="1:6" x14ac:dyDescent="0.25">
      <c r="A592" s="3" t="s">
        <v>543</v>
      </c>
      <c r="B592" s="10">
        <v>17284</v>
      </c>
      <c r="C592" s="23">
        <f t="shared" si="32"/>
        <v>9.8042719261673197E-3</v>
      </c>
      <c r="E592" s="12">
        <v>26.08</v>
      </c>
      <c r="F592" s="13">
        <f t="shared" si="33"/>
        <v>0.25569541183444366</v>
      </c>
    </row>
    <row r="593" spans="1:6" x14ac:dyDescent="0.25">
      <c r="A593" s="20" t="s">
        <v>0</v>
      </c>
      <c r="B593" s="21">
        <f>SUM(B496:B592)</f>
        <v>1762905</v>
      </c>
      <c r="C593" s="25">
        <f t="shared" si="32"/>
        <v>1</v>
      </c>
      <c r="D593" s="18"/>
      <c r="E593" s="18"/>
      <c r="F593" s="19">
        <f>SUM(F496:F592)</f>
        <v>18.93002309256596</v>
      </c>
    </row>
    <row r="596" spans="1:6" x14ac:dyDescent="0.25">
      <c r="A596" s="9" t="s">
        <v>953</v>
      </c>
    </row>
    <row r="597" spans="1:6" x14ac:dyDescent="0.25">
      <c r="A597" s="3" t="s">
        <v>544</v>
      </c>
      <c r="B597" s="10">
        <v>181959</v>
      </c>
      <c r="C597" s="23">
        <f t="shared" ref="C597:C649" si="34">B597/B$649</f>
        <v>0.18330334674502805</v>
      </c>
      <c r="E597" s="12">
        <v>11.66</v>
      </c>
      <c r="F597" s="13">
        <f t="shared" ref="F597:F648" si="35">E597*C597</f>
        <v>2.1373170230470269</v>
      </c>
    </row>
    <row r="598" spans="1:6" x14ac:dyDescent="0.25">
      <c r="A598" s="3" t="s">
        <v>545</v>
      </c>
      <c r="B598" s="10">
        <v>9958</v>
      </c>
      <c r="C598" s="23">
        <f t="shared" si="34"/>
        <v>1.0031571545716282E-2</v>
      </c>
      <c r="E598" s="12">
        <v>14.91</v>
      </c>
      <c r="F598" s="13">
        <f t="shared" si="35"/>
        <v>0.14957073174662977</v>
      </c>
    </row>
    <row r="599" spans="1:6" x14ac:dyDescent="0.25">
      <c r="A599" s="3" t="s">
        <v>546</v>
      </c>
      <c r="B599" s="10">
        <v>7939</v>
      </c>
      <c r="C599" s="23">
        <f t="shared" si="34"/>
        <v>7.9976548003054398E-3</v>
      </c>
      <c r="E599" s="12">
        <v>15.95</v>
      </c>
      <c r="F599" s="13">
        <f t="shared" si="35"/>
        <v>0.12756259406487175</v>
      </c>
    </row>
    <row r="600" spans="1:6" x14ac:dyDescent="0.25">
      <c r="A600" s="3" t="s">
        <v>547</v>
      </c>
      <c r="B600" s="10">
        <v>18138</v>
      </c>
      <c r="C600" s="23">
        <f t="shared" si="34"/>
        <v>1.827200689859429E-2</v>
      </c>
      <c r="E600" s="12">
        <v>16.71</v>
      </c>
      <c r="F600" s="13">
        <f t="shared" si="35"/>
        <v>0.30532523527551059</v>
      </c>
    </row>
    <row r="601" spans="1:6" x14ac:dyDescent="0.25">
      <c r="A601" s="3" t="s">
        <v>548</v>
      </c>
      <c r="B601" s="10">
        <v>10747</v>
      </c>
      <c r="C601" s="23">
        <f t="shared" si="34"/>
        <v>1.0826400823640579E-2</v>
      </c>
      <c r="E601" s="12">
        <v>15.86</v>
      </c>
      <c r="F601" s="13">
        <f t="shared" si="35"/>
        <v>0.17170671706293958</v>
      </c>
    </row>
    <row r="602" spans="1:6" x14ac:dyDescent="0.25">
      <c r="A602" s="3" t="s">
        <v>549</v>
      </c>
      <c r="B602" s="10">
        <v>18295</v>
      </c>
      <c r="C602" s="23">
        <f t="shared" si="34"/>
        <v>1.8430166843631191E-2</v>
      </c>
      <c r="E602" s="12">
        <v>13.35</v>
      </c>
      <c r="F602" s="13">
        <f t="shared" si="35"/>
        <v>0.2460427273624764</v>
      </c>
    </row>
    <row r="603" spans="1:6" x14ac:dyDescent="0.25">
      <c r="A603" s="3" t="s">
        <v>550</v>
      </c>
      <c r="B603" s="10">
        <v>12907</v>
      </c>
      <c r="C603" s="23">
        <f t="shared" si="34"/>
        <v>1.300235930312915E-2</v>
      </c>
      <c r="E603" s="12">
        <v>15.6</v>
      </c>
      <c r="F603" s="13">
        <f t="shared" si="35"/>
        <v>0.20283680512881475</v>
      </c>
    </row>
    <row r="604" spans="1:6" x14ac:dyDescent="0.25">
      <c r="A604" s="3" t="s">
        <v>551</v>
      </c>
      <c r="B604" s="10">
        <v>14360</v>
      </c>
      <c r="C604" s="23">
        <f t="shared" si="34"/>
        <v>1.4466094335859192E-2</v>
      </c>
      <c r="E604" s="12">
        <v>14.45</v>
      </c>
      <c r="F604" s="13">
        <f t="shared" si="35"/>
        <v>0.20903506315316531</v>
      </c>
    </row>
    <row r="605" spans="1:6" x14ac:dyDescent="0.25">
      <c r="A605" s="3" t="s">
        <v>552</v>
      </c>
      <c r="B605" s="10">
        <v>16353</v>
      </c>
      <c r="C605" s="23">
        <f t="shared" si="34"/>
        <v>1.6473818988461376E-2</v>
      </c>
      <c r="E605" s="12">
        <v>12.26</v>
      </c>
      <c r="F605" s="13">
        <f t="shared" si="35"/>
        <v>0.20196902079853646</v>
      </c>
    </row>
    <row r="606" spans="1:6" x14ac:dyDescent="0.25">
      <c r="A606" s="3" t="s">
        <v>553</v>
      </c>
      <c r="B606" s="10">
        <v>40192</v>
      </c>
      <c r="C606" s="23">
        <f t="shared" si="34"/>
        <v>4.048894592944656E-2</v>
      </c>
      <c r="E606" s="12">
        <v>12.88</v>
      </c>
      <c r="F606" s="13">
        <f t="shared" si="35"/>
        <v>0.52149762357127172</v>
      </c>
    </row>
    <row r="607" spans="1:6" x14ac:dyDescent="0.25">
      <c r="A607" s="3" t="s">
        <v>554</v>
      </c>
      <c r="B607" s="10">
        <v>14928</v>
      </c>
      <c r="C607" s="23">
        <f t="shared" si="34"/>
        <v>1.503829082490989E-2</v>
      </c>
      <c r="E607" s="12">
        <v>16.09</v>
      </c>
      <c r="F607" s="13">
        <f t="shared" si="35"/>
        <v>0.24196609937280011</v>
      </c>
    </row>
    <row r="608" spans="1:6" x14ac:dyDescent="0.25">
      <c r="A608" s="3" t="s">
        <v>555</v>
      </c>
      <c r="B608" s="10">
        <v>16133</v>
      </c>
      <c r="C608" s="23">
        <f t="shared" si="34"/>
        <v>1.6252193587772724E-2</v>
      </c>
      <c r="E608" s="12">
        <v>17.2</v>
      </c>
      <c r="F608" s="13">
        <f t="shared" si="35"/>
        <v>0.27953772970969087</v>
      </c>
    </row>
    <row r="609" spans="1:6" x14ac:dyDescent="0.25">
      <c r="A609" s="3" t="s">
        <v>556</v>
      </c>
      <c r="B609" s="10">
        <v>30051</v>
      </c>
      <c r="C609" s="23">
        <f t="shared" si="34"/>
        <v>3.0273022345884717E-2</v>
      </c>
      <c r="E609" s="12">
        <v>16.309999999999999</v>
      </c>
      <c r="F609" s="13">
        <f t="shared" si="35"/>
        <v>0.49375299446137971</v>
      </c>
    </row>
    <row r="610" spans="1:6" x14ac:dyDescent="0.25">
      <c r="A610" s="3" t="s">
        <v>557</v>
      </c>
      <c r="B610" s="10">
        <v>12082</v>
      </c>
      <c r="C610" s="23">
        <f t="shared" si="34"/>
        <v>1.217126405054671E-2</v>
      </c>
      <c r="E610" s="12">
        <v>17.989999999999998</v>
      </c>
      <c r="F610" s="13">
        <f t="shared" si="35"/>
        <v>0.2189610402693353</v>
      </c>
    </row>
    <row r="611" spans="1:6" x14ac:dyDescent="0.25">
      <c r="A611" s="3" t="s">
        <v>558</v>
      </c>
      <c r="B611" s="10">
        <v>8992</v>
      </c>
      <c r="C611" s="23">
        <f t="shared" si="34"/>
        <v>9.058434559056118E-3</v>
      </c>
      <c r="E611" s="12">
        <v>23.16</v>
      </c>
      <c r="F611" s="13">
        <f t="shared" si="35"/>
        <v>0.20979334438773969</v>
      </c>
    </row>
    <row r="612" spans="1:6" x14ac:dyDescent="0.25">
      <c r="A612" s="3" t="s">
        <v>559</v>
      </c>
      <c r="B612" s="10">
        <v>15885</v>
      </c>
      <c r="C612" s="23">
        <f t="shared" si="34"/>
        <v>1.6002361317905518E-2</v>
      </c>
      <c r="E612" s="12">
        <v>19.18</v>
      </c>
      <c r="F612" s="13">
        <f t="shared" si="35"/>
        <v>0.3069252900774278</v>
      </c>
    </row>
    <row r="613" spans="1:6" x14ac:dyDescent="0.25">
      <c r="A613" s="3" t="s">
        <v>560</v>
      </c>
      <c r="B613" s="10">
        <v>6354</v>
      </c>
      <c r="C613" s="23">
        <f t="shared" si="34"/>
        <v>6.4009445271622075E-3</v>
      </c>
      <c r="E613" s="12">
        <v>17.920000000000002</v>
      </c>
      <c r="F613" s="13">
        <f t="shared" si="35"/>
        <v>0.11470492592674678</v>
      </c>
    </row>
    <row r="614" spans="1:6" x14ac:dyDescent="0.25">
      <c r="A614" s="3" t="s">
        <v>561</v>
      </c>
      <c r="B614" s="10">
        <v>16565</v>
      </c>
      <c r="C614" s="23">
        <f t="shared" si="34"/>
        <v>1.668738528367044E-2</v>
      </c>
      <c r="E614" s="12">
        <v>18.82</v>
      </c>
      <c r="F614" s="13">
        <f t="shared" si="35"/>
        <v>0.31405659103867767</v>
      </c>
    </row>
    <row r="615" spans="1:6" x14ac:dyDescent="0.25">
      <c r="A615" s="3" t="s">
        <v>562</v>
      </c>
      <c r="B615" s="10">
        <v>15998</v>
      </c>
      <c r="C615" s="23">
        <f t="shared" si="34"/>
        <v>1.6116196182804691E-2</v>
      </c>
      <c r="E615" s="12">
        <v>17.170000000000002</v>
      </c>
      <c r="F615" s="13">
        <f t="shared" si="35"/>
        <v>0.27671508845875659</v>
      </c>
    </row>
    <row r="616" spans="1:6" x14ac:dyDescent="0.25">
      <c r="A616" s="3" t="s">
        <v>563</v>
      </c>
      <c r="B616" s="10">
        <v>9843</v>
      </c>
      <c r="C616" s="23">
        <f t="shared" si="34"/>
        <v>9.9157219044472156E-3</v>
      </c>
      <c r="E616" s="12">
        <v>16.47</v>
      </c>
      <c r="F616" s="13">
        <f t="shared" si="35"/>
        <v>0.16331193976624564</v>
      </c>
    </row>
    <row r="617" spans="1:6" x14ac:dyDescent="0.25">
      <c r="A617" s="3" t="s">
        <v>564</v>
      </c>
      <c r="B617" s="10">
        <v>46882</v>
      </c>
      <c r="C617" s="23">
        <f t="shared" si="34"/>
        <v>4.7228372886751434E-2</v>
      </c>
      <c r="E617" s="12">
        <v>14.7</v>
      </c>
      <c r="F617" s="13">
        <f t="shared" si="35"/>
        <v>0.694257081435246</v>
      </c>
    </row>
    <row r="618" spans="1:6" x14ac:dyDescent="0.25">
      <c r="A618" s="3" t="s">
        <v>565</v>
      </c>
      <c r="B618" s="10">
        <v>14543</v>
      </c>
      <c r="C618" s="23">
        <f t="shared" si="34"/>
        <v>1.465044637370475E-2</v>
      </c>
      <c r="E618" s="12">
        <v>17.2</v>
      </c>
      <c r="F618" s="13">
        <f t="shared" si="35"/>
        <v>0.25198767762772167</v>
      </c>
    </row>
    <row r="619" spans="1:6" x14ac:dyDescent="0.25">
      <c r="A619" s="3" t="s">
        <v>566</v>
      </c>
      <c r="B619" s="10">
        <v>15655</v>
      </c>
      <c r="C619" s="23">
        <f t="shared" si="34"/>
        <v>1.5770662035367384E-2</v>
      </c>
      <c r="E619" s="12">
        <v>16.079999999999998</v>
      </c>
      <c r="F619" s="13">
        <f t="shared" si="35"/>
        <v>0.25359224552870752</v>
      </c>
    </row>
    <row r="620" spans="1:6" x14ac:dyDescent="0.25">
      <c r="A620" s="3" t="s">
        <v>567</v>
      </c>
      <c r="B620" s="10">
        <v>12797</v>
      </c>
      <c r="C620" s="23">
        <f t="shared" si="34"/>
        <v>1.2891546602784824E-2</v>
      </c>
      <c r="E620" s="12">
        <v>14.56</v>
      </c>
      <c r="F620" s="13">
        <f t="shared" si="35"/>
        <v>0.18770091853654705</v>
      </c>
    </row>
    <row r="621" spans="1:6" x14ac:dyDescent="0.25">
      <c r="A621" s="3" t="s">
        <v>568</v>
      </c>
      <c r="B621" s="10">
        <v>19989</v>
      </c>
      <c r="C621" s="23">
        <f t="shared" si="34"/>
        <v>2.0136682428933801E-2</v>
      </c>
      <c r="E621" s="12">
        <v>11.96</v>
      </c>
      <c r="F621" s="13">
        <f t="shared" si="35"/>
        <v>0.24083472185004828</v>
      </c>
    </row>
    <row r="622" spans="1:6" x14ac:dyDescent="0.25">
      <c r="A622" s="3" t="s">
        <v>569</v>
      </c>
      <c r="B622" s="10">
        <v>19095</v>
      </c>
      <c r="C622" s="23">
        <f t="shared" si="34"/>
        <v>1.9236077391589921E-2</v>
      </c>
      <c r="E622" s="12">
        <v>18.34</v>
      </c>
      <c r="F622" s="13">
        <f t="shared" si="35"/>
        <v>0.35278965936175916</v>
      </c>
    </row>
    <row r="623" spans="1:6" x14ac:dyDescent="0.25">
      <c r="A623" s="3" t="s">
        <v>570</v>
      </c>
      <c r="B623" s="10">
        <v>9100</v>
      </c>
      <c r="C623" s="23">
        <f t="shared" si="34"/>
        <v>9.1672324830305452E-3</v>
      </c>
      <c r="E623" s="12">
        <v>14.25</v>
      </c>
      <c r="F623" s="13">
        <f t="shared" si="35"/>
        <v>0.13063306288318527</v>
      </c>
    </row>
    <row r="624" spans="1:6" x14ac:dyDescent="0.25">
      <c r="A624" s="3" t="s">
        <v>571</v>
      </c>
      <c r="B624" s="10">
        <v>14349</v>
      </c>
      <c r="C624" s="23">
        <f t="shared" si="34"/>
        <v>1.4455013065824758E-2</v>
      </c>
      <c r="E624" s="12">
        <v>16.579999999999998</v>
      </c>
      <c r="F624" s="13">
        <f t="shared" si="35"/>
        <v>0.23966411663137446</v>
      </c>
    </row>
    <row r="625" spans="1:6" x14ac:dyDescent="0.25">
      <c r="A625" s="3" t="s">
        <v>572</v>
      </c>
      <c r="B625" s="10">
        <v>34717</v>
      </c>
      <c r="C625" s="23">
        <f t="shared" si="34"/>
        <v>3.4973495616854006E-2</v>
      </c>
      <c r="E625" s="12">
        <v>12.78</v>
      </c>
      <c r="F625" s="13">
        <f t="shared" si="35"/>
        <v>0.44696127398339419</v>
      </c>
    </row>
    <row r="626" spans="1:6" x14ac:dyDescent="0.25">
      <c r="A626" s="3" t="s">
        <v>573</v>
      </c>
      <c r="B626" s="10">
        <v>13302</v>
      </c>
      <c r="C626" s="23">
        <f t="shared" si="34"/>
        <v>1.3400277636183771E-2</v>
      </c>
      <c r="E626" s="12">
        <v>14.47</v>
      </c>
      <c r="F626" s="13">
        <f t="shared" si="35"/>
        <v>0.19390201739557916</v>
      </c>
    </row>
    <row r="627" spans="1:6" x14ac:dyDescent="0.25">
      <c r="A627" s="3" t="s">
        <v>574</v>
      </c>
      <c r="B627" s="10">
        <v>16301</v>
      </c>
      <c r="C627" s="23">
        <f t="shared" si="34"/>
        <v>1.6421434802844057E-2</v>
      </c>
      <c r="E627" s="12">
        <v>17.93</v>
      </c>
      <c r="F627" s="13">
        <f t="shared" si="35"/>
        <v>0.29443632601499392</v>
      </c>
    </row>
    <row r="628" spans="1:6" x14ac:dyDescent="0.25">
      <c r="A628" s="3" t="s">
        <v>575</v>
      </c>
      <c r="B628" s="10">
        <v>17309</v>
      </c>
      <c r="C628" s="23">
        <f t="shared" si="34"/>
        <v>1.7436882093272058E-2</v>
      </c>
      <c r="E628" s="12">
        <v>13.94</v>
      </c>
      <c r="F628" s="13">
        <f t="shared" si="35"/>
        <v>0.24307013638021246</v>
      </c>
    </row>
    <row r="629" spans="1:6" x14ac:dyDescent="0.25">
      <c r="A629" s="3" t="s">
        <v>576</v>
      </c>
      <c r="B629" s="10">
        <v>11564</v>
      </c>
      <c r="C629" s="23">
        <f t="shared" si="34"/>
        <v>1.1649436970743433E-2</v>
      </c>
      <c r="E629" s="12">
        <v>17.18</v>
      </c>
      <c r="F629" s="13">
        <f t="shared" si="35"/>
        <v>0.20013732715737217</v>
      </c>
    </row>
    <row r="630" spans="1:6" x14ac:dyDescent="0.25">
      <c r="A630" s="3" t="s">
        <v>577</v>
      </c>
      <c r="B630" s="10">
        <v>17016</v>
      </c>
      <c r="C630" s="23">
        <f t="shared" si="34"/>
        <v>1.7141717355082173E-2</v>
      </c>
      <c r="E630" s="12">
        <v>14.62</v>
      </c>
      <c r="F630" s="13">
        <f t="shared" si="35"/>
        <v>0.25061190773130138</v>
      </c>
    </row>
    <row r="631" spans="1:6" x14ac:dyDescent="0.25">
      <c r="A631" s="3" t="s">
        <v>578</v>
      </c>
      <c r="B631" s="10">
        <v>9358</v>
      </c>
      <c r="C631" s="23">
        <f t="shared" si="34"/>
        <v>9.4271386347472355E-3</v>
      </c>
      <c r="E631" s="12">
        <v>12.99</v>
      </c>
      <c r="F631" s="13">
        <f t="shared" si="35"/>
        <v>0.12245853086536659</v>
      </c>
    </row>
    <row r="632" spans="1:6" x14ac:dyDescent="0.25">
      <c r="A632" s="3" t="s">
        <v>579</v>
      </c>
      <c r="B632" s="10">
        <v>7055</v>
      </c>
      <c r="C632" s="23">
        <f t="shared" si="34"/>
        <v>7.1071236448110439E-3</v>
      </c>
      <c r="E632" s="12">
        <v>13.87</v>
      </c>
      <c r="F632" s="13">
        <f t="shared" si="35"/>
        <v>9.8575804953529175E-2</v>
      </c>
    </row>
    <row r="633" spans="1:6" x14ac:dyDescent="0.25">
      <c r="A633" s="3" t="s">
        <v>580</v>
      </c>
      <c r="B633" s="10">
        <v>6594</v>
      </c>
      <c r="C633" s="23">
        <f t="shared" si="34"/>
        <v>6.6427176915498263E-3</v>
      </c>
      <c r="E633" s="12">
        <v>12.69</v>
      </c>
      <c r="F633" s="13">
        <f t="shared" si="35"/>
        <v>8.4296087505767295E-2</v>
      </c>
    </row>
    <row r="634" spans="1:6" x14ac:dyDescent="0.25">
      <c r="A634" s="3" t="s">
        <v>581</v>
      </c>
      <c r="B634" s="10">
        <v>17642</v>
      </c>
      <c r="C634" s="23">
        <f t="shared" si="34"/>
        <v>1.7772342358859879E-2</v>
      </c>
      <c r="E634" s="12">
        <v>16.29</v>
      </c>
      <c r="F634" s="13">
        <f t="shared" si="35"/>
        <v>0.28951145702582742</v>
      </c>
    </row>
    <row r="635" spans="1:6" x14ac:dyDescent="0.25">
      <c r="A635" s="3" t="s">
        <v>582</v>
      </c>
      <c r="B635" s="10">
        <v>20240</v>
      </c>
      <c r="C635" s="23">
        <f t="shared" si="34"/>
        <v>2.0389536863355852E-2</v>
      </c>
      <c r="E635" s="12">
        <v>17.88</v>
      </c>
      <c r="F635" s="13">
        <f t="shared" si="35"/>
        <v>0.36456491911680261</v>
      </c>
    </row>
    <row r="636" spans="1:6" x14ac:dyDescent="0.25">
      <c r="A636" s="3" t="s">
        <v>583</v>
      </c>
      <c r="B636" s="10">
        <v>6329</v>
      </c>
      <c r="C636" s="23">
        <f t="shared" si="34"/>
        <v>6.3757598225384973E-3</v>
      </c>
      <c r="E636" s="12">
        <v>22.93</v>
      </c>
      <c r="F636" s="13">
        <f t="shared" si="35"/>
        <v>0.14619617273080773</v>
      </c>
    </row>
    <row r="637" spans="1:6" x14ac:dyDescent="0.25">
      <c r="A637" s="3" t="s">
        <v>584</v>
      </c>
      <c r="B637" s="10">
        <v>42297</v>
      </c>
      <c r="C637" s="23">
        <f t="shared" si="34"/>
        <v>4.2609498058762969E-2</v>
      </c>
      <c r="E637" s="12">
        <v>14.38</v>
      </c>
      <c r="F637" s="13">
        <f t="shared" si="35"/>
        <v>0.61272458208501157</v>
      </c>
    </row>
    <row r="638" spans="1:6" x14ac:dyDescent="0.25">
      <c r="A638" s="3" t="s">
        <v>585</v>
      </c>
      <c r="B638" s="10">
        <v>10129</v>
      </c>
      <c r="C638" s="23">
        <f t="shared" si="34"/>
        <v>1.0203834925342461E-2</v>
      </c>
      <c r="E638" s="12">
        <v>17.45</v>
      </c>
      <c r="F638" s="13">
        <f t="shared" si="35"/>
        <v>0.17805691944722593</v>
      </c>
    </row>
    <row r="639" spans="1:6" x14ac:dyDescent="0.25">
      <c r="A639" s="3" t="s">
        <v>586</v>
      </c>
      <c r="B639" s="10">
        <v>10566</v>
      </c>
      <c r="C639" s="23">
        <f t="shared" si="34"/>
        <v>1.0644063562164918E-2</v>
      </c>
      <c r="E639" s="12">
        <v>17.690000000000001</v>
      </c>
      <c r="F639" s="13">
        <f t="shared" si="35"/>
        <v>0.1882934844146974</v>
      </c>
    </row>
    <row r="640" spans="1:6" x14ac:dyDescent="0.25">
      <c r="A640" s="3" t="s">
        <v>587</v>
      </c>
      <c r="B640" s="10">
        <v>35216</v>
      </c>
      <c r="C640" s="23">
        <f t="shared" si="34"/>
        <v>3.5476182321143267E-2</v>
      </c>
      <c r="E640" s="12">
        <v>12.98</v>
      </c>
      <c r="F640" s="13">
        <f t="shared" si="35"/>
        <v>0.46048084652843962</v>
      </c>
    </row>
    <row r="641" spans="1:6" x14ac:dyDescent="0.25">
      <c r="A641" s="3" t="s">
        <v>588</v>
      </c>
      <c r="B641" s="10">
        <v>7887</v>
      </c>
      <c r="C641" s="23">
        <f t="shared" si="34"/>
        <v>7.9452706146881224E-3</v>
      </c>
      <c r="E641" s="12">
        <v>22.17</v>
      </c>
      <c r="F641" s="13">
        <f t="shared" si="35"/>
        <v>0.17614664952763567</v>
      </c>
    </row>
    <row r="642" spans="1:6" x14ac:dyDescent="0.25">
      <c r="A642" s="3" t="s">
        <v>589</v>
      </c>
      <c r="B642" s="10">
        <v>9935</v>
      </c>
      <c r="C642" s="23">
        <f t="shared" si="34"/>
        <v>1.000840161746247E-2</v>
      </c>
      <c r="E642" s="12">
        <v>19.88</v>
      </c>
      <c r="F642" s="13">
        <f t="shared" si="35"/>
        <v>0.19896702415515391</v>
      </c>
    </row>
    <row r="643" spans="1:6" x14ac:dyDescent="0.25">
      <c r="A643" s="3" t="s">
        <v>590</v>
      </c>
      <c r="B643" s="10">
        <v>6939</v>
      </c>
      <c r="C643" s="23">
        <f t="shared" si="34"/>
        <v>6.9902666153570285E-3</v>
      </c>
      <c r="E643" s="12">
        <v>20.190000000000001</v>
      </c>
      <c r="F643" s="13">
        <f t="shared" si="35"/>
        <v>0.14113348296405842</v>
      </c>
    </row>
    <row r="644" spans="1:6" x14ac:dyDescent="0.25">
      <c r="A644" s="3" t="s">
        <v>591</v>
      </c>
      <c r="B644" s="10">
        <v>9934</v>
      </c>
      <c r="C644" s="23">
        <f t="shared" si="34"/>
        <v>1.0007394229277522E-2</v>
      </c>
      <c r="E644" s="12">
        <v>24.01</v>
      </c>
      <c r="F644" s="13">
        <f t="shared" si="35"/>
        <v>0.24027753544495331</v>
      </c>
    </row>
    <row r="645" spans="1:6" x14ac:dyDescent="0.25">
      <c r="A645" s="3" t="s">
        <v>592</v>
      </c>
      <c r="B645" s="10">
        <v>8526</v>
      </c>
      <c r="C645" s="23">
        <f t="shared" si="34"/>
        <v>8.5889916648701579E-3</v>
      </c>
      <c r="E645" s="12">
        <v>21.87</v>
      </c>
      <c r="F645" s="13">
        <f t="shared" si="35"/>
        <v>0.18784124771071037</v>
      </c>
    </row>
    <row r="646" spans="1:6" x14ac:dyDescent="0.25">
      <c r="A646" s="3" t="s">
        <v>593</v>
      </c>
      <c r="B646" s="10">
        <v>5978</v>
      </c>
      <c r="C646" s="23">
        <f t="shared" si="34"/>
        <v>6.0221665696216049E-3</v>
      </c>
      <c r="E646" s="12">
        <v>20.65</v>
      </c>
      <c r="F646" s="13">
        <f t="shared" si="35"/>
        <v>0.12435773966268614</v>
      </c>
    </row>
    <row r="647" spans="1:6" x14ac:dyDescent="0.25">
      <c r="A647" s="3" t="s">
        <v>594</v>
      </c>
      <c r="B647" s="10">
        <v>25583</v>
      </c>
      <c r="C647" s="23">
        <f t="shared" si="34"/>
        <v>2.5772011935535216E-2</v>
      </c>
      <c r="E647" s="12">
        <v>17.57</v>
      </c>
      <c r="F647" s="13">
        <f t="shared" si="35"/>
        <v>0.45281424970735373</v>
      </c>
    </row>
    <row r="648" spans="1:6" x14ac:dyDescent="0.25">
      <c r="A648" s="3" t="s">
        <v>595</v>
      </c>
      <c r="B648" s="10">
        <v>12160</v>
      </c>
      <c r="C648" s="23">
        <f t="shared" si="34"/>
        <v>1.2249840328972686E-2</v>
      </c>
      <c r="E648" s="12">
        <v>22.94</v>
      </c>
      <c r="F648" s="13">
        <f t="shared" si="35"/>
        <v>0.2810113371466334</v>
      </c>
    </row>
    <row r="649" spans="1:6" x14ac:dyDescent="0.25">
      <c r="A649" s="20" t="s">
        <v>0</v>
      </c>
      <c r="B649" s="21">
        <f>SUM(B597:B648)</f>
        <v>992666</v>
      </c>
      <c r="C649" s="22">
        <f t="shared" si="34"/>
        <v>1</v>
      </c>
      <c r="D649" s="18"/>
      <c r="E649" s="18"/>
      <c r="F649" s="19">
        <f>SUM(F597:F648)</f>
        <v>15.220875128190146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403EC-3CC0-43FE-8244-4BFB813EA9DF}">
  <dimension ref="A1:D38"/>
  <sheetViews>
    <sheetView workbookViewId="0">
      <selection activeCell="B4" sqref="B4"/>
    </sheetView>
  </sheetViews>
  <sheetFormatPr baseColWidth="10" defaultColWidth="11.28515625" defaultRowHeight="15" x14ac:dyDescent="0.25"/>
  <cols>
    <col min="1" max="1" width="23.28515625" bestFit="1" customWidth="1"/>
    <col min="3" max="3" width="23.28515625" bestFit="1" customWidth="1"/>
    <col min="4" max="4" width="19.42578125" bestFit="1" customWidth="1"/>
    <col min="5" max="5" width="17.140625" bestFit="1" customWidth="1"/>
  </cols>
  <sheetData>
    <row r="1" spans="1:4" x14ac:dyDescent="0.25">
      <c r="A1" s="1" t="s">
        <v>601</v>
      </c>
      <c r="C1" t="s">
        <v>868</v>
      </c>
      <c r="D1" t="s">
        <v>869</v>
      </c>
    </row>
    <row r="2" spans="1:4" x14ac:dyDescent="0.25">
      <c r="A2" t="s">
        <v>870</v>
      </c>
      <c r="B2" s="4">
        <v>1657</v>
      </c>
      <c r="C2" s="5" t="s">
        <v>867</v>
      </c>
      <c r="D2" s="5"/>
    </row>
    <row r="3" spans="1:4" x14ac:dyDescent="0.25">
      <c r="A3" t="s">
        <v>871</v>
      </c>
      <c r="B3" s="4">
        <v>385</v>
      </c>
      <c r="C3" s="5"/>
      <c r="D3" s="5" t="s">
        <v>867</v>
      </c>
    </row>
    <row r="4" spans="1:4" x14ac:dyDescent="0.25">
      <c r="A4" t="s">
        <v>872</v>
      </c>
      <c r="B4" s="4">
        <v>225</v>
      </c>
      <c r="C4" s="5"/>
      <c r="D4" s="5" t="s">
        <v>867</v>
      </c>
    </row>
    <row r="5" spans="1:4" x14ac:dyDescent="0.25">
      <c r="A5" t="s">
        <v>873</v>
      </c>
      <c r="B5" s="4">
        <v>468</v>
      </c>
      <c r="C5" s="5"/>
      <c r="D5" s="5" t="s">
        <v>867</v>
      </c>
    </row>
    <row r="6" spans="1:4" x14ac:dyDescent="0.25">
      <c r="A6" t="s">
        <v>874</v>
      </c>
      <c r="B6" s="4">
        <v>140</v>
      </c>
      <c r="C6" s="5"/>
      <c r="D6" s="5" t="s">
        <v>867</v>
      </c>
    </row>
    <row r="7" spans="1:4" x14ac:dyDescent="0.25">
      <c r="A7" t="s">
        <v>875</v>
      </c>
      <c r="B7" s="4">
        <v>283</v>
      </c>
      <c r="C7" s="5" t="s">
        <v>867</v>
      </c>
      <c r="D7" s="5"/>
    </row>
    <row r="8" spans="1:4" x14ac:dyDescent="0.25">
      <c r="A8" t="s">
        <v>876</v>
      </c>
      <c r="B8" s="4">
        <v>532</v>
      </c>
      <c r="C8" s="5" t="s">
        <v>867</v>
      </c>
      <c r="D8" s="5"/>
    </row>
    <row r="9" spans="1:4" x14ac:dyDescent="0.25">
      <c r="A9" t="s">
        <v>877</v>
      </c>
      <c r="B9" s="4">
        <v>318</v>
      </c>
      <c r="C9" s="5"/>
      <c r="D9" s="5" t="s">
        <v>867</v>
      </c>
    </row>
    <row r="10" spans="1:4" x14ac:dyDescent="0.25">
      <c r="A10" t="s">
        <v>878</v>
      </c>
      <c r="B10" s="4">
        <v>513</v>
      </c>
      <c r="C10" s="5"/>
      <c r="D10" s="5" t="s">
        <v>867</v>
      </c>
    </row>
    <row r="11" spans="1:4" x14ac:dyDescent="0.25">
      <c r="A11" t="s">
        <v>879</v>
      </c>
      <c r="B11" s="4">
        <v>517</v>
      </c>
      <c r="C11" s="5"/>
      <c r="D11" s="5" t="s">
        <v>867</v>
      </c>
    </row>
    <row r="12" spans="1:4" x14ac:dyDescent="0.25">
      <c r="A12" t="s">
        <v>880</v>
      </c>
      <c r="B12" s="4">
        <v>537</v>
      </c>
      <c r="C12" s="5"/>
      <c r="D12" s="5" t="s">
        <v>867</v>
      </c>
    </row>
    <row r="13" spans="1:4" x14ac:dyDescent="0.25">
      <c r="A13" t="s">
        <v>881</v>
      </c>
      <c r="B13" s="4">
        <v>168</v>
      </c>
      <c r="C13" s="5" t="s">
        <v>867</v>
      </c>
      <c r="D13" s="5"/>
    </row>
    <row r="14" spans="1:4" x14ac:dyDescent="0.25">
      <c r="A14" t="s">
        <v>882</v>
      </c>
      <c r="B14" s="4">
        <v>486</v>
      </c>
      <c r="C14" s="5"/>
      <c r="D14" s="5" t="s">
        <v>867</v>
      </c>
    </row>
    <row r="15" spans="1:4" x14ac:dyDescent="0.25">
      <c r="A15" t="s">
        <v>883</v>
      </c>
      <c r="B15" s="4">
        <v>381</v>
      </c>
      <c r="C15" s="5" t="s">
        <v>867</v>
      </c>
      <c r="D15" s="5"/>
    </row>
    <row r="16" spans="1:4" x14ac:dyDescent="0.25">
      <c r="A16" t="s">
        <v>884</v>
      </c>
      <c r="B16" s="4">
        <v>490</v>
      </c>
      <c r="C16" s="5" t="s">
        <v>867</v>
      </c>
      <c r="D16" s="5"/>
    </row>
    <row r="17" spans="1:4" x14ac:dyDescent="0.25">
      <c r="A17" t="s">
        <v>885</v>
      </c>
      <c r="B17" s="4">
        <v>228</v>
      </c>
      <c r="C17" s="5" t="s">
        <v>867</v>
      </c>
      <c r="D17" s="5"/>
    </row>
    <row r="18" spans="1:4" x14ac:dyDescent="0.25">
      <c r="A18" t="s">
        <v>886</v>
      </c>
      <c r="B18" s="4">
        <v>499</v>
      </c>
      <c r="C18" s="5" t="s">
        <v>867</v>
      </c>
      <c r="D18" s="5"/>
    </row>
    <row r="19" spans="1:4" x14ac:dyDescent="0.25">
      <c r="A19" t="s">
        <v>887</v>
      </c>
      <c r="B19" s="4">
        <v>149</v>
      </c>
      <c r="C19" s="5" t="s">
        <v>867</v>
      </c>
      <c r="D19" s="5"/>
    </row>
    <row r="20" spans="1:4" x14ac:dyDescent="0.25">
      <c r="A20" t="s">
        <v>888</v>
      </c>
      <c r="B20" s="4">
        <v>1049</v>
      </c>
      <c r="C20" s="5" t="s">
        <v>867</v>
      </c>
      <c r="D20" s="5"/>
    </row>
    <row r="21" spans="1:4" x14ac:dyDescent="0.25">
      <c r="A21" t="s">
        <v>889</v>
      </c>
      <c r="B21" s="4">
        <v>252</v>
      </c>
      <c r="C21" s="5" t="s">
        <v>867</v>
      </c>
      <c r="D21" s="5"/>
    </row>
    <row r="22" spans="1:4" x14ac:dyDescent="0.25">
      <c r="A22" t="s">
        <v>890</v>
      </c>
      <c r="B22" s="4">
        <v>235</v>
      </c>
      <c r="C22" s="5"/>
      <c r="D22" s="5" t="s">
        <v>867</v>
      </c>
    </row>
    <row r="23" spans="1:4" x14ac:dyDescent="0.25">
      <c r="A23" t="s">
        <v>891</v>
      </c>
      <c r="B23" s="4">
        <v>360</v>
      </c>
      <c r="C23" s="5"/>
      <c r="D23" s="5" t="s">
        <v>867</v>
      </c>
    </row>
    <row r="24" spans="1:4" x14ac:dyDescent="0.25">
      <c r="A24" t="s">
        <v>892</v>
      </c>
      <c r="B24" s="4">
        <v>276</v>
      </c>
      <c r="C24" s="5"/>
      <c r="D24" s="5" t="s">
        <v>867</v>
      </c>
    </row>
    <row r="25" spans="1:4" x14ac:dyDescent="0.25">
      <c r="A25" t="s">
        <v>893</v>
      </c>
      <c r="B25" s="4">
        <v>204</v>
      </c>
      <c r="C25" s="5" t="s">
        <v>867</v>
      </c>
      <c r="D25" s="5"/>
    </row>
    <row r="26" spans="1:4" x14ac:dyDescent="0.25">
      <c r="A26" t="s">
        <v>894</v>
      </c>
      <c r="B26" s="4">
        <v>108</v>
      </c>
      <c r="C26" s="5"/>
      <c r="D26" s="5" t="s">
        <v>867</v>
      </c>
    </row>
    <row r="27" spans="1:4" x14ac:dyDescent="0.25">
      <c r="A27" t="s">
        <v>895</v>
      </c>
      <c r="B27" s="4">
        <v>93</v>
      </c>
      <c r="C27" s="5" t="s">
        <v>867</v>
      </c>
      <c r="D27" s="5"/>
    </row>
    <row r="28" spans="1:4" x14ac:dyDescent="0.25">
      <c r="A28" t="s">
        <v>896</v>
      </c>
      <c r="B28" s="4">
        <v>175</v>
      </c>
      <c r="C28" s="5"/>
      <c r="D28" s="5" t="s">
        <v>867</v>
      </c>
    </row>
    <row r="29" spans="1:4" x14ac:dyDescent="0.25">
      <c r="A29" t="s">
        <v>897</v>
      </c>
      <c r="B29" s="4">
        <v>121</v>
      </c>
      <c r="C29" s="5"/>
      <c r="D29" s="5" t="s">
        <v>867</v>
      </c>
    </row>
    <row r="30" spans="1:4" x14ac:dyDescent="0.25">
      <c r="A30" t="s">
        <v>898</v>
      </c>
      <c r="B30" s="4">
        <v>195</v>
      </c>
      <c r="C30" s="5" t="s">
        <v>867</v>
      </c>
      <c r="D30" s="5"/>
    </row>
    <row r="31" spans="1:4" x14ac:dyDescent="0.25">
      <c r="A31" t="s">
        <v>899</v>
      </c>
      <c r="B31" s="4">
        <v>225</v>
      </c>
      <c r="C31" s="5" t="s">
        <v>867</v>
      </c>
      <c r="D31" s="5"/>
    </row>
    <row r="32" spans="1:4" x14ac:dyDescent="0.25">
      <c r="A32" t="s">
        <v>900</v>
      </c>
      <c r="B32" s="4">
        <v>166</v>
      </c>
      <c r="C32" s="5" t="s">
        <v>867</v>
      </c>
      <c r="D32" s="5"/>
    </row>
    <row r="33" spans="1:4" x14ac:dyDescent="0.25">
      <c r="A33" t="s">
        <v>901</v>
      </c>
      <c r="B33" s="4">
        <v>212</v>
      </c>
      <c r="C33" s="5"/>
      <c r="D33" s="5" t="s">
        <v>867</v>
      </c>
    </row>
    <row r="34" spans="1:4" x14ac:dyDescent="0.25">
      <c r="A34" t="s">
        <v>902</v>
      </c>
      <c r="B34" s="4">
        <v>167</v>
      </c>
      <c r="C34" s="5"/>
      <c r="D34" s="5" t="s">
        <v>867</v>
      </c>
    </row>
    <row r="35" spans="1:4" x14ac:dyDescent="0.25">
      <c r="A35" t="s">
        <v>903</v>
      </c>
      <c r="B35" s="4">
        <v>110</v>
      </c>
      <c r="C35" s="5"/>
      <c r="D35" s="5" t="s">
        <v>867</v>
      </c>
    </row>
    <row r="36" spans="1:4" x14ac:dyDescent="0.25">
      <c r="A36" t="s">
        <v>904</v>
      </c>
      <c r="B36" s="4">
        <v>143</v>
      </c>
      <c r="C36" s="5"/>
      <c r="D36" s="5" t="s">
        <v>867</v>
      </c>
    </row>
    <row r="37" spans="1:4" x14ac:dyDescent="0.25">
      <c r="A37" t="s">
        <v>905</v>
      </c>
      <c r="B37" s="4">
        <v>5397</v>
      </c>
      <c r="C37" s="5"/>
      <c r="D37" s="5" t="s">
        <v>867</v>
      </c>
    </row>
    <row r="38" spans="1:4" x14ac:dyDescent="0.25">
      <c r="A38" s="2" t="s">
        <v>0</v>
      </c>
      <c r="B38" s="6">
        <f>SUM(B2:B37)</f>
        <v>17464</v>
      </c>
      <c r="C38" s="6">
        <f>SUMIF(C2:C37,"x",$B2:$B37)</f>
        <v>6571</v>
      </c>
      <c r="D38" s="6">
        <f>SUMIF(D2:D37,"x",$B2:$B37)</f>
        <v>10893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41395126D110F4D8F273669C442B9D9" ma:contentTypeVersion="16" ma:contentTypeDescription="Ein neues Dokument erstellen." ma:contentTypeScope="" ma:versionID="495d0eb8a0b253780ead1c09272df088">
  <xsd:schema xmlns:xsd="http://www.w3.org/2001/XMLSchema" xmlns:xs="http://www.w3.org/2001/XMLSchema" xmlns:p="http://schemas.microsoft.com/office/2006/metadata/properties" xmlns:ns2="cbfbd070-cf3d-4ab1-8b87-15d52a43e3b2" xmlns:ns3="f59f6705-6c9e-4d32-bce5-b158b56aeeec" targetNamespace="http://schemas.microsoft.com/office/2006/metadata/properties" ma:root="true" ma:fieldsID="fea68682e884d86eece50f7b946504cd" ns2:_="" ns3:_="">
    <xsd:import namespace="cbfbd070-cf3d-4ab1-8b87-15d52a43e3b2"/>
    <xsd:import namespace="f59f6705-6c9e-4d32-bce5-b158b56aee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fbd070-cf3d-4ab1-8b87-15d52a43e3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117f1bb4-c95b-45c0-b090-20a77e107b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f6705-6c9e-4d32-bce5-b158b56aeee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6d6b81f-5e5a-4088-97dd-e377f352af8c}" ma:internalName="TaxCatchAll" ma:showField="CatchAllData" ma:web="f59f6705-6c9e-4d32-bce5-b158b56aee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59f6705-6c9e-4d32-bce5-b158b56aeeec"/>
    <lcf76f155ced4ddcb4097134ff3c332f xmlns="cbfbd070-cf3d-4ab1-8b87-15d52a43e3b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A479A6-CEB9-49B4-9416-6D76199D17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fbd070-cf3d-4ab1-8b87-15d52a43e3b2"/>
    <ds:schemaRef ds:uri="f59f6705-6c9e-4d32-bce5-b158b56aee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73BE32-8D53-4992-B7B7-5D94B794D2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E678E4-3EB0-44E0-B9DE-BD380BB4948D}">
  <ds:schemaRefs>
    <ds:schemaRef ds:uri="http://purl.org/dc/terms/"/>
    <ds:schemaRef ds:uri="http://schemas.openxmlformats.org/package/2006/metadata/core-properties"/>
    <ds:schemaRef ds:uri="http://purl.org/dc/dcmitype/"/>
    <ds:schemaRef ds:uri="f59f6705-6c9e-4d32-bce5-b158b56aeeec"/>
    <ds:schemaRef ds:uri="cbfbd070-cf3d-4ab1-8b87-15d52a43e3b2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Inhaltsverzeichnis</vt:lpstr>
      <vt:lpstr>Berechn. Reisezeitverhältnis</vt:lpstr>
      <vt:lpstr>Berechn. Erreichbarkeit</vt:lpstr>
      <vt:lpstr>Berechn. Umsteigeh., -wartezeit</vt:lpstr>
      <vt:lpstr>Berechn. Pendeldistanzen</vt:lpstr>
      <vt:lpstr>Hilfsrechn. Gemeindeverz.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JW</dc:creator>
  <cp:lastModifiedBy>Stephan L. Kroll</cp:lastModifiedBy>
  <dcterms:created xsi:type="dcterms:W3CDTF">2024-07-29T18:16:30Z</dcterms:created>
  <dcterms:modified xsi:type="dcterms:W3CDTF">2024-08-28T13:51:54Z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0x010100641395126D110F4D8F273669C442B9D9</vt:lpwstr>
  </property>
</Properties>
</file>